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8"/>
  <workbookPr/>
  <mc:AlternateContent xmlns:mc="http://schemas.openxmlformats.org/markup-compatibility/2006">
    <mc:Choice Requires="x15">
      <x15ac:absPath xmlns:x15ac="http://schemas.microsoft.com/office/spreadsheetml/2010/11/ac" url="/Users/katherinecarvajalgonzalez/Desktop/2. PTEP/"/>
    </mc:Choice>
  </mc:AlternateContent>
  <xr:revisionPtr revIDLastSave="0" documentId="13_ncr:1_{827E8225-9D3C-8A44-810F-6EE5F077E5CA}" xr6:coauthVersionLast="47" xr6:coauthVersionMax="47" xr10:uidLastSave="{00000000-0000-0000-0000-000000000000}"/>
  <bookViews>
    <workbookView xWindow="0" yWindow="2120" windowWidth="28640" windowHeight="14180" xr2:uid="{0C041748-B044-4FB9-8211-F613DC3A6C13}"/>
  </bookViews>
  <sheets>
    <sheet name="Mapa de riesgos Corrupción" sheetId="1" r:id="rId1"/>
    <sheet name="Parametros" sheetId="5" r:id="rId2"/>
  </sheets>
  <definedNames>
    <definedName name="_xlnm._FilterDatabase" localSheetId="0" hidden="1">'Mapa de riesgos Corrupción'!$A$8:$BC$16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1" l="1"/>
  <c r="K15" i="1"/>
  <c r="L16" i="1" l="1"/>
  <c r="K16" i="1" l="1"/>
  <c r="L10" i="1" l="1"/>
  <c r="K10" i="1"/>
  <c r="J13" i="1" l="1"/>
  <c r="L13" i="1" s="1"/>
  <c r="K13" i="1" l="1"/>
  <c r="L11" i="1" l="1"/>
  <c r="K11" i="1"/>
  <c r="L12" i="1"/>
  <c r="K12" i="1"/>
  <c r="AO16" i="1" l="1"/>
  <c r="AP16" i="1" s="1"/>
  <c r="AI16" i="1"/>
  <c r="Z16" i="1"/>
  <c r="N16" i="1"/>
  <c r="O16" i="1"/>
  <c r="Q16" i="1" s="1"/>
  <c r="S16" i="1" l="1"/>
  <c r="R16" i="1"/>
  <c r="P16" i="1" s="1"/>
  <c r="T16" i="1"/>
  <c r="U16" i="1"/>
  <c r="AD16" i="1"/>
  <c r="AN16" i="1" s="1"/>
  <c r="AM16" i="1" s="1"/>
  <c r="AQ16" i="1" s="1"/>
  <c r="AO15" i="1"/>
  <c r="AP15" i="1" s="1"/>
  <c r="AI15" i="1"/>
  <c r="Z15" i="1"/>
  <c r="N15" i="1"/>
  <c r="AT16" i="1" l="1"/>
  <c r="AR16" i="1" s="1"/>
  <c r="AV16" i="1"/>
  <c r="AW16" i="1"/>
  <c r="AS16" i="1"/>
  <c r="AU16" i="1"/>
  <c r="O15" i="1"/>
  <c r="Q15" i="1" s="1"/>
  <c r="AD15" i="1"/>
  <c r="AN15" i="1" s="1"/>
  <c r="AM15" i="1" s="1"/>
  <c r="AQ15" i="1" s="1"/>
  <c r="U15" i="1" l="1"/>
  <c r="R15" i="1"/>
  <c r="P15" i="1" s="1"/>
  <c r="S15" i="1"/>
  <c r="T15" i="1"/>
  <c r="AV15" i="1"/>
  <c r="AU15" i="1"/>
  <c r="AW15" i="1"/>
  <c r="AT15" i="1"/>
  <c r="AR15" i="1" s="1"/>
  <c r="AS15" i="1"/>
  <c r="AO14" i="1"/>
  <c r="AP14" i="1" s="1"/>
  <c r="AI14" i="1"/>
  <c r="Z14" i="1"/>
  <c r="N14" i="1"/>
  <c r="L14" i="1"/>
  <c r="K14" i="1"/>
  <c r="AD14" i="1" l="1"/>
  <c r="AN14" i="1" s="1"/>
  <c r="AM14" i="1" s="1" a="1"/>
  <c r="AM14" i="1" s="1"/>
  <c r="AO13" i="1"/>
  <c r="AP13" i="1" s="1"/>
  <c r="AI13" i="1"/>
  <c r="Z13" i="1"/>
  <c r="N13" i="1"/>
  <c r="AD13" i="1" l="1"/>
  <c r="AN13" i="1" s="1"/>
  <c r="AM13" i="1" s="1"/>
  <c r="T10" i="1"/>
  <c r="S10" i="1"/>
  <c r="AQ10" i="1" l="1"/>
  <c r="R10" i="1"/>
  <c r="U10" i="1"/>
  <c r="Q10" i="1"/>
  <c r="AT10" i="1" l="1"/>
  <c r="AS10" i="1"/>
  <c r="AU10" i="1"/>
  <c r="AR10" i="1" s="1"/>
  <c r="AV10" i="1"/>
  <c r="AW10" i="1"/>
  <c r="O14" i="1" l="1"/>
  <c r="U14" i="1" l="1"/>
  <c r="T14" i="1"/>
  <c r="S14" i="1"/>
  <c r="R14" i="1"/>
  <c r="P14" i="1" s="1"/>
  <c r="Q14" i="1"/>
  <c r="AQ14" i="1"/>
  <c r="AW14" i="1" l="1"/>
  <c r="AV14" i="1"/>
  <c r="AU14" i="1"/>
  <c r="AT14" i="1"/>
  <c r="AR14" i="1" s="1"/>
  <c r="AS14" i="1"/>
  <c r="O13" i="1"/>
  <c r="R13" i="1" s="1"/>
  <c r="AQ13" i="1"/>
  <c r="AW13" i="1" l="1"/>
  <c r="AV13" i="1"/>
  <c r="AU13" i="1"/>
  <c r="AT13" i="1"/>
  <c r="AR13" i="1" s="1"/>
  <c r="AS13" i="1"/>
  <c r="U13" i="1"/>
  <c r="T13" i="1"/>
  <c r="S13" i="1"/>
  <c r="P13" i="1"/>
  <c r="Q13" i="1"/>
  <c r="AO12" i="1"/>
  <c r="AI12" i="1"/>
  <c r="Z12" i="1"/>
  <c r="N12" i="1"/>
  <c r="O12" i="1" l="1"/>
  <c r="AD12" i="1"/>
  <c r="AN12" i="1" s="1"/>
  <c r="AM12" i="1" s="1" a="1"/>
  <c r="AM12" i="1" s="1"/>
  <c r="AQ12" i="1" s="1"/>
  <c r="AP12" i="1"/>
  <c r="AW12" i="1" l="1"/>
  <c r="AV12" i="1"/>
  <c r="AU12" i="1"/>
  <c r="AR12" i="1" s="1"/>
  <c r="AT12" i="1"/>
  <c r="AS12" i="1"/>
  <c r="U12" i="1"/>
  <c r="T12" i="1"/>
  <c r="S12" i="1"/>
  <c r="P12" i="1" s="1"/>
  <c r="R12" i="1"/>
  <c r="Q12" i="1"/>
  <c r="O11" i="1" l="1"/>
  <c r="AQ11" i="1"/>
  <c r="AW11" i="1" l="1"/>
  <c r="AV11" i="1"/>
  <c r="AU11" i="1"/>
  <c r="AT11" i="1"/>
  <c r="AS11" i="1"/>
  <c r="AR11" i="1" s="1"/>
  <c r="U11" i="1"/>
  <c r="T11" i="1"/>
  <c r="S11" i="1"/>
  <c r="R11" i="1"/>
  <c r="Q11" i="1"/>
  <c r="P11" i="1" s="1"/>
  <c r="V22" i="5" l="1"/>
  <c r="U22"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<sst xmlns="http://schemas.openxmlformats.org/spreadsheetml/2006/main" count="287" uniqueCount="210">
  <si>
    <t>IDENTIFICACIÓN DEL RIESGO</t>
  </si>
  <si>
    <t>Plan de manejo "acciones de mitigación"</t>
  </si>
  <si>
    <t>IMPACTO 1</t>
  </si>
  <si>
    <t>IMPACTO 2</t>
  </si>
  <si>
    <t>IMPACTO 3</t>
  </si>
  <si>
    <t>IMPACTO 4</t>
  </si>
  <si>
    <t>IMPACTO 5</t>
  </si>
  <si>
    <t>Proceso</t>
  </si>
  <si>
    <t>Objetivo del proceso</t>
  </si>
  <si>
    <t xml:space="preserve">Actividad Crítica </t>
  </si>
  <si>
    <t xml:space="preserve">Causa(s) raíz(ces)
Debido a… </t>
  </si>
  <si>
    <t>Impacto</t>
  </si>
  <si>
    <t>Descripción del control Identificado</t>
  </si>
  <si>
    <t>Tratamiento del riesgo</t>
  </si>
  <si>
    <t>Actividad
(A control o a riesgo)</t>
  </si>
  <si>
    <t>Responsable</t>
  </si>
  <si>
    <t xml:space="preserve">Fecha de inicio </t>
  </si>
  <si>
    <t>Fecha Fin</t>
  </si>
  <si>
    <t>Indicador de cumplimiento de la actividad</t>
  </si>
  <si>
    <t>Riesgo de corrupción</t>
  </si>
  <si>
    <t>Reducir el riesgo
Se adoptan medidas para reducir la probabilidad o el impacto del riesgo, o ambos; por lo general conlleva a la implementación de controles.</t>
  </si>
  <si>
    <t>Descripción del riesgo</t>
  </si>
  <si>
    <t>Frecuencia</t>
  </si>
  <si>
    <t>Tipo</t>
  </si>
  <si>
    <t>Implementación</t>
  </si>
  <si>
    <t>Calificación</t>
  </si>
  <si>
    <t xml:space="preserve">Documentación </t>
  </si>
  <si>
    <t>Evidencia</t>
  </si>
  <si>
    <t>No de control 1</t>
  </si>
  <si>
    <t>No de control 2</t>
  </si>
  <si>
    <t>Probabilidad  Residual 1</t>
  </si>
  <si>
    <t>Zona de Riesgo Ffinal</t>
  </si>
  <si>
    <t xml:space="preserve">Evaluación Zona de Riesgo  Inherente </t>
  </si>
  <si>
    <t>Preventivo</t>
  </si>
  <si>
    <t>Manual</t>
  </si>
  <si>
    <t>CONTROL</t>
  </si>
  <si>
    <t>Detectivo</t>
  </si>
  <si>
    <t>%</t>
  </si>
  <si>
    <t>Automatico</t>
  </si>
  <si>
    <t>FRECUENCIA ACTIVIDAD</t>
  </si>
  <si>
    <t>Probabilidad Inherente</t>
  </si>
  <si>
    <t>Código</t>
  </si>
  <si>
    <t>Versión</t>
  </si>
  <si>
    <t xml:space="preserve"> IPSE-ME-F06 </t>
  </si>
  <si>
    <t>Fecha:</t>
  </si>
  <si>
    <t>Paginas</t>
  </si>
  <si>
    <t xml:space="preserve"> 2/2</t>
  </si>
  <si>
    <t>Frecuencia actividad</t>
  </si>
  <si>
    <t>Causa (s) inmediata (Consecuencias)</t>
  </si>
  <si>
    <t xml:space="preserve">No de actividades cumplidas / Total de actividades a cumplir de acuerdo al plan de acción del área </t>
  </si>
  <si>
    <t>SUPERVISIÓN INTERVENTORÍA Y SEGUIMIENTO</t>
  </si>
  <si>
    <t xml:space="preserve">Realizar supervisión o interventoría a los proyectos relacionados con infraestructura energética o de prestación del servicio de energía eléctrica verificando que las obligaciones contractuales se cumplan. 
</t>
  </si>
  <si>
    <t xml:space="preserve">Seguimiento a la ejecución de contratos </t>
  </si>
  <si>
    <t>GESTION AUDITORIAS</t>
  </si>
  <si>
    <t>GESTION FINANCIERA</t>
  </si>
  <si>
    <t>Registrar y analizar los hechos económicos para presentar razonable y
oportunamente la información financiera.</t>
  </si>
  <si>
    <t>Gestión de pagos</t>
  </si>
  <si>
    <t>Hallazgos Administrativos, Fiscales, Disciplinarios y Penales</t>
  </si>
  <si>
    <t>Impacto o Efecto Dañoso (Economico o reputacional)</t>
  </si>
  <si>
    <t>Evaluación independientes</t>
  </si>
  <si>
    <t>Reputacional</t>
  </si>
  <si>
    <t>CONTROL 2 DETECTIVO</t>
  </si>
  <si>
    <t>CONTROL 1 PREVENTIVO</t>
  </si>
  <si>
    <t>PREGUNTA:</t>
  </si>
  <si>
    <t>RESPUESTA</t>
  </si>
  <si>
    <t>N°</t>
  </si>
  <si>
    <t xml:space="preserve"> SI EL RIESGO DE CORRUPCION SE MATERIALIZA PODRÍA …..</t>
  </si>
  <si>
    <t>SI (1)</t>
  </si>
  <si>
    <t>NO (0)</t>
  </si>
  <si>
    <t>NIVEL</t>
  </si>
  <si>
    <t>DESCRIPTOR</t>
  </si>
  <si>
    <t>DESCRIPCION</t>
  </si>
  <si>
    <t>FRECUENCIA</t>
  </si>
  <si>
    <t>Afectar al grupo de funcionarios del proceso</t>
  </si>
  <si>
    <t>Casi seguro</t>
  </si>
  <si>
    <t>Se espera que el evento ocurra en la mayoría de las circunstancias.</t>
  </si>
  <si>
    <t>Más de una vez al año</t>
  </si>
  <si>
    <t>Probable</t>
  </si>
  <si>
    <t>Es viable que el evento ocurra en la mayoría de las circunstancias.</t>
  </si>
  <si>
    <t>Al menos 1 vez en el último año</t>
  </si>
  <si>
    <t xml:space="preserve">Afectar el cumplimiento de misión de la entidad </t>
  </si>
  <si>
    <t>Posible</t>
  </si>
  <si>
    <t>El evento podrá ocurrir en algún momento</t>
  </si>
  <si>
    <t>Al menos 1 vez en los últimos 2 años</t>
  </si>
  <si>
    <t>Improbable</t>
  </si>
  <si>
    <t>El evento puede ocurrir en algún momento</t>
  </si>
  <si>
    <t>Al menos 1 vez en los últimos 5 años</t>
  </si>
  <si>
    <t>Generar pérdida de confianza de la entidad, afectando su reputación</t>
  </si>
  <si>
    <t>Rara vez</t>
  </si>
  <si>
    <t>El evento puede ocurrir solo en circunstancias excepcionales (poco comunes o anormales)</t>
  </si>
  <si>
    <t>No se ha presentado en los últimos 5 años</t>
  </si>
  <si>
    <t>Generar pérdida de recursos económicos</t>
  </si>
  <si>
    <t>Dar lugar al detrimento de calidad de vida de la comunidad por la pérdida del bien, servicio o recursos públicos.</t>
  </si>
  <si>
    <t>Generar pérdida de información de la entidad</t>
  </si>
  <si>
    <t>Generar intervensión de los organos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</si>
  <si>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</si>
  <si>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</si>
  <si>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</si>
  <si>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</si>
  <si>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</si>
  <si>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</si>
  <si>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</si>
  <si>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</si>
  <si>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</si>
  <si>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Responder afirmativamente de UNA  a CINCO preguntas genera un impacto MODERADO</t>
  </si>
  <si>
    <t>Responder afirmativamente de SEIS  a ONCE preguntas genera un impacto MAYOR</t>
  </si>
  <si>
    <t>Responder afirmativamente de DOCE  a DIECINUEVE preguntas genera un impacto CATASTROFICO</t>
  </si>
  <si>
    <t>1-MODERADO</t>
  </si>
  <si>
    <t>2-MAYOR</t>
  </si>
  <si>
    <t>3- CATASTROFICO</t>
  </si>
  <si>
    <t>Pérdida de objetividad al adelantar la evaluación independiente</t>
  </si>
  <si>
    <t>Inobservancia de los roles del Grupo de Control Interno 
Inobservancia del Estatuto de Auditoría y Código de Ética del Auditor</t>
  </si>
  <si>
    <t>Contribuir al logro de los objetivos institucionales, mediante la evaluación independiente; vigilando el cumplimiento de la normatividad vigente, a través de un enfoque sistemático e independiente para evaluar la eficiencia y eficacia de los procesos. Con el fin de identificar oportunidades de mejora, generando alertas, emitiendo observaciones y recomendaciones para la toma de decisiones en oportunidad por parte de la Alta Dirección.</t>
  </si>
  <si>
    <t>Tipo de Riesgo</t>
  </si>
  <si>
    <t>Afectar el cumplimiento de metas y objetivos de la dependencia</t>
  </si>
  <si>
    <t>Afectar el cumplimiento de la misión del sector al que pertenece la entidad</t>
  </si>
  <si>
    <t>Afectar la generación de los productos o la prestación del servicio</t>
  </si>
  <si>
    <t>Posibilidad  de recibir o solicitar cualquier dádiva o beneficio a nombre propio o de terceros con el fin de beneficiar al sujeto auditado.</t>
  </si>
  <si>
    <t>Control Interno</t>
  </si>
  <si>
    <t>El equipo auditoría interna del Instituto conoce, revisa y aplica el Código de Integridad, Código de Ética y Estatuto de Auditoría en cada actividad de auditoría.</t>
  </si>
  <si>
    <t>Sí</t>
  </si>
  <si>
    <t>No</t>
  </si>
  <si>
    <t>Permanente</t>
  </si>
  <si>
    <t>Probabilidad Residual final</t>
  </si>
  <si>
    <t>1. Documento actualizado
2. No de Formatos de compromiso firmados
3. No. de encuestas de evaluación firmadas.</t>
  </si>
  <si>
    <t>Omitir la verificación de requisitos para el pago a proveedores y contratistas o tercero.</t>
  </si>
  <si>
    <t>Posibilidad de recibir o solicitar cualquier dadiva o beneficio a nombre propio o de terceros  por la omisón de la verificación de requisitos para el pago a proveedores y contratistas busca la destinación de recursos públicos de forma indebida en favor de un privado o tercero</t>
  </si>
  <si>
    <t>Económico</t>
  </si>
  <si>
    <t xml:space="preserve">
* El Profesional Especializado con perfil contable, realiza la Revisión documental de los soportes para el trámite de pago.
</t>
  </si>
  <si>
    <t>si</t>
  </si>
  <si>
    <t>Continua</t>
  </si>
  <si>
    <t xml:space="preserve">El Profesional con perfil de tesoreria  una vez recepcionado el trámite con su respectiva obliogación, valida los sopores documentales al momento de generar la orden de pago.  </t>
  </si>
  <si>
    <t>La coordinadora del grupo de recursos financieros aleatgoriamente genera un informe que arroja SIIFF con el fin de hacer una revisión de los pagos hasta cinco pagos</t>
  </si>
  <si>
    <t>Coordinadora</t>
  </si>
  <si>
    <t>Reporte pagos con revisión</t>
  </si>
  <si>
    <t>Pago a terceros sin el cumplimiento de los hitos contractuales</t>
  </si>
  <si>
    <t>Disciplinarios, hallazgos de la auditorias
Sanciones, fiscales o penales a la Entidad</t>
  </si>
  <si>
    <t xml:space="preserve">Posibilidad de recibir o solicitar cualquier dadiva o beneficio a nombre propio o de terceros  por la omisón de la verificación de requisitos para el pago a proveedores y contratistas </t>
  </si>
  <si>
    <t xml:space="preserve">Economico </t>
  </si>
  <si>
    <t>El supervisor del contrato mediante lista de chequeo realiza  verificacion de los documentos soportes de la cuenta de cobro de los contratistas para el pago de la cuenta</t>
  </si>
  <si>
    <t>continua</t>
  </si>
  <si>
    <t>Soportes autorizacion pago, lista chequeo</t>
  </si>
  <si>
    <t xml:space="preserve">El coordinador del grupo de seguimiento y supervisión realiza reuniones semanales o quincenales de seguimiento y control de todos los aspectos inherentes a los contratos </t>
  </si>
  <si>
    <t>semanal</t>
  </si>
  <si>
    <t>si-base de seguimiento</t>
  </si>
  <si>
    <t>El Subdirector de contratos y seguimiento, realizara por lo menos una capacitación a los supervisores  en temas referentes a la supervisión e interventoría de contratos y entrenamiento al equipo de apoyo a la supervisión</t>
  </si>
  <si>
    <t xml:space="preserve">subdirector </t>
  </si>
  <si>
    <t>GESTION DE TI</t>
  </si>
  <si>
    <t>Gestionar estratégicamente las necesidades de innovación en tecnología,  seguridad y operatividad que requieran las partes interesadas, con el fin de apoyar  el cumplimiento de los objetivos institucionales en el marco de la estrategia de Gobierno Digital.</t>
  </si>
  <si>
    <t>Adquisición de productos y/o servicios tecnologicos</t>
  </si>
  <si>
    <t xml:space="preserve"> Estudios previos</t>
  </si>
  <si>
    <t>Contratación indebida de productos y servicios, sanciones a nivel disciplinario y/o penal</t>
  </si>
  <si>
    <t>Posibillida recibir o solicitar cualquier dadiva o beneficio a nombre propio o de terceros con el fin de realizar una indebida contratacion de productos y/o servicios tecnologicos debido a falta de supervisión de los estudios previos, lo que conllevaria a una sancion y perdidas economicas para la entidad.</t>
  </si>
  <si>
    <t>Economico</t>
  </si>
  <si>
    <t xml:space="preserve">El coordinador del grupo de TSI cuandop se requiera, revisa que el estudio previo presentado por el profesional asignado  este conforme  a las normas establecidas en el Manual de Contratación. </t>
  </si>
  <si>
    <t>Manual de Contración</t>
  </si>
  <si>
    <t>Flujos de Revisión en estudios previos, CDP.</t>
  </si>
  <si>
    <t xml:space="preserve"> El Coordinador del grupo TSI solicita por medio de correo electrronico al area juridicala y secretaria general conformidad del estudio previo.
</t>
  </si>
  <si>
    <t>Correo electronico</t>
  </si>
  <si>
    <t>El supervisor del contrato realiza acta mensual de seguimiento y cumplimiento de contrato</t>
  </si>
  <si>
    <t>Supervisor del contrato</t>
  </si>
  <si>
    <t xml:space="preserve">Acta de seguimiento
</t>
  </si>
  <si>
    <t>GESTIÓN DE PROYECTOS</t>
  </si>
  <si>
    <t xml:space="preserve">Estructurar, viabilizar y promocionar proyectos que permitan entregar soluciones energéticas sostenibles y eficientes a las comunidades de las ZNI. </t>
  </si>
  <si>
    <t>Gestión de proyectos en la ZNI</t>
  </si>
  <si>
    <t>Intereses particulares
No apropiación del código de integridad del IPSE</t>
  </si>
  <si>
    <t>Hallazgos disciplinarios, administrativos, fiscales, penales
Detrimento patrimonial 
Pérdida de imagen institucional</t>
  </si>
  <si>
    <t>Posibilidad de recibir o solicitar dádivas para manipular la información y beneficiar a ciertas empresas, entes o individuos en el direccionamiento de los proyectos de soluciones energéticas causando afectación en la imagen institucional de la Entidad.</t>
  </si>
  <si>
    <t>El profesional del área alimenta la matriz de priorización de acuerdo a los insumos establecidos en el procedimiento para la jerarquización de las comunidades o municipios con necesidades energéticas.</t>
  </si>
  <si>
    <t>SI</t>
  </si>
  <si>
    <t>El subdirector de planificación y promoción, el coordinador y su equipo técnico, verifican los resultados de la priorización de comunidades con necesidades energéticas, establecen el plan de trabajo anual y hacen seguimiento a la estructuración y viabilización de proyectos de forma mensual para determinar el estado de los mismos.</t>
  </si>
  <si>
    <t>El subdirector y el coordinador de la subdirección de planificación y promoción, revisaran los criterios de priorización al final del año con el fin de verificar su vigencia.</t>
  </si>
  <si>
    <t>Equipo de la Subdirección de Planificación Energética</t>
  </si>
  <si>
    <t># Total de comunidades con demanda energética registrados en la base de datos/# Total de comunidades con demanda energética con proyectos estructurados y/o viabilizados desde la subdirección de planificación y promoción x 100</t>
  </si>
  <si>
    <t>Catastrofico</t>
  </si>
  <si>
    <t>EXTREMO 1:3</t>
  </si>
  <si>
    <t>1. Revisar de manera permanente  y de ser necesario actualizar el procedimiento IPSE-AU-P02 PROCEDIMIENTO AUDITORIAS DE GESTION 
2. Diligenciar el formato de compromiso etico del auditor el cual reposará en la carpeta de la auditoria.</t>
  </si>
  <si>
    <t>Moderado</t>
  </si>
  <si>
    <t>Correos eletronico y/o Sistema de Gestión Documental</t>
  </si>
  <si>
    <t>Sistema gestión Documental ORFEO</t>
  </si>
  <si>
    <t>GESTION DE TALENTO HUMANO</t>
  </si>
  <si>
    <t xml:space="preserve">Gestionar las actividades requeridas para la permanencia, compensación y desarrollo del talento humano desde su vinculación, seleccionando al personal de acuerdo con sus competencias y buscando mejorarlas para lograr el cumplimiento de los objetivos institucionales. Así mismo, tramitar las certificaciones solicitadas conforme al vínculo laboral.
</t>
  </si>
  <si>
    <t xml:space="preserve">Administración de Personal </t>
  </si>
  <si>
    <t xml:space="preserve">No seguir los procedimientos establecidos  y la normas  que regulan la materia sobre nombramientos provisionales o encargos de servidores públicos  </t>
  </si>
  <si>
    <t xml:space="preserve">* Perfiles profesionales inadecuados para satisfacer las necesidades de personal de la entidad. 
* Revocatoria del nombramiento por no acreditar los requisitos para el desempeño del empleo, de conformidad con el artículo 5O de la Ley 190 de 1995, y las normas que lo adicionen o modifiquen.
</t>
  </si>
  <si>
    <t>Posibilidad de recibir o solicitar dadivas o beneficios a nombre propio o de terceros de realizar un nombramiento</t>
  </si>
  <si>
    <t xml:space="preserve">
El coordinador de Talento Humano o quien haga sus veces de acuerdo con el formato establecido realiza la revisión de los documentos remitidos por el candidato conforme a la ficha del empleo a proveer.</t>
  </si>
  <si>
    <t xml:space="preserve">Formato de verificación de requisitos </t>
  </si>
  <si>
    <t>El profesional especializado de Talento Humano publica en la página web, intranet u otros medios la hoja de vida y/o verificación de requisitos siempre que se de un proceso</t>
  </si>
  <si>
    <t>Publicación</t>
  </si>
  <si>
    <t>La coordinacion de Talento Humano cada vez que se requiera,  verifica la lista de documentos que acredita el cumplimiento de requisitos para poder posesionarse.                                                                                                            La coordinacion de Talento Humano, revisa y mantiene actualizado  el procedimiento que describe las actividades de vinculación de los tipos de empleo del Instituto con forme a las disposiciones normativas vigentes.
Nota: dado el caso de que se presente una actualización normativa referente al tema, se debe actualizar el procedimiento con forme a lo estipulado en la misma.</t>
  </si>
  <si>
    <t>Coordinador Talento Humano</t>
  </si>
  <si>
    <t>No. de nombramientos en el periodo/ No. verificación requisitos en el periodo</t>
  </si>
  <si>
    <t xml:space="preserve">CONTROL INTERNO DISCIPLINARIO  </t>
  </si>
  <si>
    <t>Representar  al  IPSE  en  los  asuntos  judiciales  y  extrajudiciales  a  través  de  asistencia  jurídica  especializada,  proveer  por  la  prevención  del  daño  antijurídico  y  asesorar al  Instituto en la aplicación de la normatividad vigente.</t>
  </si>
  <si>
    <t xml:space="preserve"> Control Interno Disciplinario</t>
  </si>
  <si>
    <t>Falta de control sobre el vencimiento de cada etapa procesal 
Falta de control sobre la ocurrencia de los hechos y la fecha de apertura del proceso disicplinario 
Falta de control sobre la ocurrencia de los hechos y el trascurso de 5 años siguientes a la ocurrencia de los hechos                                
No mantener actualizada la base de datos que contiene el registro de los expedientes de los procesos disciplinarios que tramita la UCID 
No revisar constantemente los expedientes de los procesos disciplinarios teniendo en cuenta lo requerido en cada uno de ellos 
No actualizar constantemente los expedeintes de los procesos disciplinarios teniendo en cuenta la foliatura (pruebas) o piezas procesales necesarias e importantes                                         No actuar o sustanciar el proceso disciplinario en término</t>
  </si>
  <si>
    <t xml:space="preserve">Prescripción o caducidad de la acción disciplinaria, </t>
  </si>
  <si>
    <t>Posibillida recibir o solicitar cualquier dadiva o beneficio a nombre propio o de terceros con el fin de que opere la  prescripción o caducidad de la accion disciplinaria</t>
  </si>
  <si>
    <t xml:space="preserve">La autoridad disciplinaria de instrucción una vez cada trimestre  ofrecerá capacitación en funcion preventiva a todos los colaboradores del IPSE sobre el contenido disciplinario o expedirá una pieza comunicativa  la cual será divulgada en la herramienta dispuesta para ello. </t>
  </si>
  <si>
    <t>trimestral</t>
  </si>
  <si>
    <t xml:space="preserve">Los abogados sustanciadores deberán mantener actualizada la base de datos de la UCID, donde se especificará la etapa procesal y fecha de los hechos, y realizarán la  revisión mensual de los expedientes disciplinarios con el fin de mantenerlos al día. </t>
  </si>
  <si>
    <t>mensual</t>
  </si>
  <si>
    <t xml:space="preserve">
La UCID verificará  mesualmente  si ocurre la  prescripción de la acción, evento en el cual proferiá  la desición  que la declara  y adelantará la actuación disciplinaria  correspondiente</t>
  </si>
  <si>
    <t>Autoridad disciplinaria de instrucción  Control Interno Disciplinario</t>
  </si>
  <si>
    <t xml:space="preserve">No de acciones disciplinarias prescritas / Total de expedientes activos </t>
  </si>
  <si>
    <t>Registros de convocatorias a las reuniones de seguimiento</t>
  </si>
  <si>
    <t>Matriz de priorizacion</t>
  </si>
  <si>
    <t>TERCER SEGUIMIENTO MAPA DE RIESGOS CORRUPCION</t>
  </si>
  <si>
    <t>Fecha: PERIODO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</si>
</sst>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ptos Narrow"/>
      <family val="2"/>
      <scheme val="minor"/>
    </font>
    <font>
      <sz val="11"/>
      <color theme="1"/>
      <name val="Aptos Narrow"/>
      <family val="2"/>
      <scheme val="minor"/>
    </font>
    <font>
      <sz val="12"/>
      <name val="Arial"/>
      <family val="2"/>
    </font>
    <font>
      <sz val="12"/>
      <name val="Tahoma"/>
      <family val="2"/>
    </font>
    <font>
      <sz val="10"/>
      <name val="Arial"/>
      <family val="2"/>
    </font>
    <font>
      <b/>
      <sz val="11"/>
      <name val="Arial"/>
      <family val="2"/>
    </font>
    <font>
      <b/>
      <sz val="10"/>
      <name val="Arial"/>
      <family val="2"/>
    </font>
    <font>
      <sz val="11"/>
      <name val="Tahoma"/>
      <family val="2"/>
    </font>
    <font>
      <sz val="10"/>
      <color rgb="FF000000"/>
      <name val="Arial"/>
      <family val="2"/>
    </font>
    <font>
      <b/>
      <sz val="11"/>
      <color theme="1"/>
      <name val="Aptos Narrow"/>
      <family val="2"/>
      <scheme val="minor"/>
    </font>
    <font>
      <b/>
      <u/>
      <sz val="11"/>
      <color theme="1"/>
      <name val="Aptos Narrow"/>
      <family val="2"/>
      <scheme val="minor"/>
    </font>
    <font>
      <b/>
      <sz val="12"/>
      <name val="Arial"/>
      <family val="2"/>
    </font>
    <font>
      <b/>
      <sz val="11"/>
      <name val="Tahoma"/>
      <family val="2"/>
    </font>
    <font>
      <u/>
      <sz val="11"/>
      <color theme="10"/>
      <name val="Aptos Narrow"/>
      <family val="2"/>
      <scheme val="minor"/>
    </font>
    <font>
      <sz val="13"/>
      <color rgb="FFFF0000"/>
      <name val="Times New Roman"/>
      <family val="1"/>
    </font>
    <font>
      <b/>
      <sz val="12"/>
      <color rgb="FFFF0000"/>
      <name val="Arial"/>
      <family val="2"/>
    </font>
    <font>
      <b/>
      <sz val="11"/>
      <color rgb="FFFF0000"/>
      <name val="Arial"/>
      <family val="2"/>
    </font>
    <font>
      <b/>
      <sz val="14"/>
      <color rgb="FFFF0000"/>
      <name val="Arial"/>
      <family val="2"/>
    </font>
    <font>
      <sz val="12"/>
      <color rgb="FFFF0000"/>
      <name val="Tahoma"/>
      <family val="2"/>
    </font>
    <font>
      <b/>
      <sz val="14"/>
      <name val="Arial"/>
      <family val="2"/>
    </font>
    <font>
      <sz val="11"/>
      <name val="Aptos Narrow"/>
      <family val="2"/>
      <scheme val="minor"/>
    </font>
  </fonts>
  <fills count="18">
    <fill>
      <patternFill patternType="none"/>
    </fill>
    <fill>
      <patternFill patternType="gray125"/>
    </fill>
    <fill>
      <patternFill patternType="solid">
        <fgColor theme="9" tint="0.59999389629810485"/>
        <bgColor indexed="65"/>
      </patternFill>
    </fill>
    <fill>
      <patternFill patternType="solid">
        <fgColor theme="6" tint="0.59999389629810485"/>
        <bgColor indexed="64"/>
      </patternFill>
    </fill>
    <fill>
      <patternFill patternType="solid">
        <fgColor theme="7" tint="0.39997558519241921"/>
        <bgColor indexed="64"/>
      </patternFill>
    </fill>
    <fill>
      <patternFill patternType="solid">
        <fgColor theme="4"/>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theme="2"/>
        <bgColor indexed="64"/>
      </patternFill>
    </fill>
    <fill>
      <patternFill patternType="solid">
        <fgColor theme="0"/>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s>
  <cellStyleXfs count="9">
    <xf numFmtId="0" fontId="0" fillId="0" borderId="0"/>
    <xf numFmtId="0" fontId="1" fillId="2" borderId="0" applyNumberFormat="0" applyBorder="0" applyAlignment="0" applyProtection="0"/>
    <xf numFmtId="0" fontId="2" fillId="0" borderId="0"/>
    <xf numFmtId="0" fontId="8" fillId="0" borderId="0"/>
    <xf numFmtId="0" fontId="8" fillId="0" borderId="0"/>
    <xf numFmtId="0" fontId="8" fillId="0" borderId="0"/>
    <xf numFmtId="0" fontId="8" fillId="0" borderId="0"/>
    <xf numFmtId="9" fontId="1" fillId="0" borderId="0" applyFont="0" applyFill="0" applyBorder="0" applyAlignment="0" applyProtection="0"/>
    <xf numFmtId="0" fontId="13" fillId="0" borderId="0" applyNumberFormat="0" applyFill="0" applyBorder="0" applyAlignment="0" applyProtection="0"/>
  </cellStyleXfs>
  <cellXfs count="125">
    <xf numFmtId="0" fontId="0" fillId="0" borderId="0" xfId="0"/>
    <xf numFmtId="0" fontId="3" fillId="0" borderId="0" xfId="2" applyFont="1" applyAlignment="1">
      <alignment vertical="center" wrapText="1"/>
    </xf>
    <xf numFmtId="0" fontId="4" fillId="0" borderId="1" xfId="0" applyFont="1" applyBorder="1" applyAlignment="1">
      <alignment horizontal="center" vertical="center" wrapText="1"/>
    </xf>
    <xf numFmtId="0" fontId="5" fillId="0" borderId="0" xfId="0" applyFont="1" applyAlignment="1">
      <alignment horizontal="center" vertical="center" wrapText="1"/>
    </xf>
    <xf numFmtId="14" fontId="4" fillId="0" borderId="1" xfId="0" applyNumberFormat="1" applyFont="1" applyBorder="1" applyAlignment="1">
      <alignment horizontal="center" vertical="center" wrapText="1"/>
    </xf>
    <xf numFmtId="0" fontId="3" fillId="0" borderId="0" xfId="2" applyFont="1" applyAlignment="1">
      <alignment horizontal="center" vertical="center" wrapText="1"/>
    </xf>
    <xf numFmtId="0" fontId="7" fillId="0" borderId="0" xfId="2" applyFont="1" applyAlignment="1">
      <alignment vertical="center" wrapText="1"/>
    </xf>
    <xf numFmtId="0" fontId="6" fillId="3" borderId="1" xfId="2" applyFont="1" applyFill="1" applyBorder="1" applyAlignment="1">
      <alignment vertical="center" wrapText="1"/>
    </xf>
    <xf numFmtId="9" fontId="0" fillId="0" borderId="0" xfId="0" applyNumberFormat="1"/>
    <xf numFmtId="0" fontId="9" fillId="8" borderId="0" xfId="0" applyFont="1" applyFill="1"/>
    <xf numFmtId="0" fontId="10" fillId="0" borderId="0" xfId="0" applyFont="1"/>
    <xf numFmtId="0" fontId="9" fillId="6" borderId="0" xfId="0" applyFont="1" applyFill="1"/>
    <xf numFmtId="0" fontId="4" fillId="0" borderId="0" xfId="2" applyFont="1" applyAlignment="1">
      <alignment vertical="center" wrapText="1"/>
    </xf>
    <xf numFmtId="9" fontId="3" fillId="0" borderId="0" xfId="7" applyFont="1" applyAlignment="1">
      <alignment vertical="center" wrapText="1"/>
    </xf>
    <xf numFmtId="9" fontId="7" fillId="0" borderId="0" xfId="7" applyFont="1" applyAlignment="1">
      <alignment vertical="center" wrapText="1"/>
    </xf>
    <xf numFmtId="0" fontId="7" fillId="0" borderId="0" xfId="2" applyFont="1" applyAlignment="1">
      <alignment horizontal="center" vertical="center" wrapText="1"/>
    </xf>
    <xf numFmtId="9" fontId="3" fillId="0" borderId="0" xfId="7" applyFont="1" applyAlignment="1">
      <alignment horizontal="center" vertical="center" wrapText="1"/>
    </xf>
    <xf numFmtId="9" fontId="7" fillId="0" borderId="0" xfId="7" applyFont="1" applyAlignment="1">
      <alignment horizontal="center" vertical="center" wrapText="1"/>
    </xf>
    <xf numFmtId="0" fontId="6" fillId="0" borderId="1" xfId="0" applyFont="1" applyBorder="1" applyAlignment="1">
      <alignment horizontal="center" vertical="center" wrapText="1"/>
    </xf>
    <xf numFmtId="0" fontId="9" fillId="0" borderId="0" xfId="0" applyFont="1"/>
    <xf numFmtId="0" fontId="0" fillId="0" borderId="0" xfId="0" applyAlignment="1">
      <alignment horizontal="left" vertical="top" wrapText="1"/>
    </xf>
    <xf numFmtId="9" fontId="0" fillId="0" borderId="0" xfId="7" applyFont="1" applyBorder="1"/>
    <xf numFmtId="0" fontId="0" fillId="0" borderId="0" xfId="0" applyAlignment="1">
      <alignment horizontal="left" vertical="center" wrapText="1"/>
    </xf>
    <xf numFmtId="0" fontId="0" fillId="15" borderId="4" xfId="0" applyFill="1" applyBorder="1"/>
    <xf numFmtId="0" fontId="0" fillId="15" borderId="5" xfId="0" applyFill="1" applyBorder="1" applyAlignment="1">
      <alignment horizontal="center"/>
    </xf>
    <xf numFmtId="0" fontId="0" fillId="15" borderId="8" xfId="0" applyFill="1" applyBorder="1"/>
    <xf numFmtId="0" fontId="0" fillId="16" borderId="10" xfId="0" applyFill="1" applyBorder="1" applyAlignment="1">
      <alignment horizontal="center" vertical="center" wrapText="1"/>
    </xf>
    <xf numFmtId="0" fontId="0" fillId="16" borderId="11" xfId="0" applyFill="1" applyBorder="1" applyAlignment="1">
      <alignment horizontal="center" vertical="center" wrapText="1"/>
    </xf>
    <xf numFmtId="0" fontId="0" fillId="16" borderId="12" xfId="0" applyFill="1" applyBorder="1" applyAlignment="1">
      <alignment horizontal="center" vertical="center" wrapText="1"/>
    </xf>
    <xf numFmtId="0" fontId="0" fillId="0" borderId="16" xfId="0" applyBorder="1" applyAlignment="1">
      <alignment horizontal="center" vertical="center" wrapText="1"/>
    </xf>
    <xf numFmtId="0" fontId="0" fillId="0" borderId="3"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0" fillId="0" borderId="1" xfId="0" applyBorder="1" applyAlignment="1">
      <alignment horizontal="left" vertical="center" wrapText="1"/>
    </xf>
    <xf numFmtId="0" fontId="0" fillId="0" borderId="23" xfId="0" applyBorder="1"/>
    <xf numFmtId="0" fontId="0" fillId="12" borderId="23" xfId="0" applyFill="1" applyBorder="1" applyAlignment="1">
      <alignment horizontal="left" vertical="center" wrapText="1"/>
    </xf>
    <xf numFmtId="0" fontId="0" fillId="12" borderId="0" xfId="0" applyFill="1"/>
    <xf numFmtId="0" fontId="6" fillId="3" borderId="1" xfId="0" applyFont="1" applyFill="1" applyBorder="1" applyAlignment="1">
      <alignment horizontal="center" vertical="center" wrapText="1"/>
    </xf>
    <xf numFmtId="0" fontId="6" fillId="11" borderId="1" xfId="0" applyFont="1" applyFill="1" applyBorder="1" applyAlignment="1">
      <alignment horizontal="center" vertical="center" wrapText="1"/>
    </xf>
    <xf numFmtId="9" fontId="6" fillId="11" borderId="1" xfId="7" applyFont="1" applyFill="1" applyBorder="1" applyAlignment="1">
      <alignment horizontal="center" vertical="center" wrapText="1"/>
    </xf>
    <xf numFmtId="0" fontId="0" fillId="15" borderId="7" xfId="0" applyFill="1" applyBorder="1" applyAlignment="1">
      <alignment horizontal="center" vertical="center"/>
    </xf>
    <xf numFmtId="0" fontId="0" fillId="0" borderId="13" xfId="0" applyBorder="1" applyAlignment="1">
      <alignment horizontal="center" vertical="center"/>
    </xf>
    <xf numFmtId="0" fontId="0" fillId="0" borderId="18" xfId="0" applyBorder="1" applyAlignment="1">
      <alignment horizontal="center" vertical="center"/>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1" xfId="0" applyBorder="1" applyAlignment="1">
      <alignment horizontal="center" vertical="center"/>
    </xf>
    <xf numFmtId="0" fontId="0" fillId="0" borderId="21" xfId="0" applyBorder="1" applyAlignment="1">
      <alignment horizontal="center" vertical="center"/>
    </xf>
    <xf numFmtId="0" fontId="0" fillId="0" borderId="14" xfId="0" applyBorder="1" applyAlignment="1">
      <alignment vertical="center"/>
    </xf>
    <xf numFmtId="0" fontId="0" fillId="0" borderId="1" xfId="0" applyBorder="1" applyAlignment="1">
      <alignment vertical="center"/>
    </xf>
    <xf numFmtId="0" fontId="0" fillId="0" borderId="21" xfId="0" applyBorder="1" applyAlignment="1">
      <alignment vertical="center"/>
    </xf>
    <xf numFmtId="0" fontId="0" fillId="0" borderId="15" xfId="0" applyBorder="1" applyAlignment="1">
      <alignment horizontal="center" vertical="center"/>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0" xfId="0" applyAlignment="1">
      <alignment horizontal="center" vertical="center"/>
    </xf>
    <xf numFmtId="0" fontId="0" fillId="12" borderId="0" xfId="0" applyFill="1" applyAlignment="1">
      <alignment vertical="center"/>
    </xf>
    <xf numFmtId="0" fontId="0" fillId="15" borderId="9" xfId="0" applyFill="1" applyBorder="1" applyAlignment="1">
      <alignment horizontal="center"/>
    </xf>
    <xf numFmtId="0" fontId="0" fillId="15" borderId="8" xfId="0" applyFill="1" applyBorder="1" applyAlignment="1">
      <alignment horizontal="center"/>
    </xf>
    <xf numFmtId="0" fontId="15" fillId="0" borderId="0" xfId="0" applyFont="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horizontal="right" vertical="center" wrapText="1"/>
    </xf>
    <xf numFmtId="0" fontId="17" fillId="0" borderId="0" xfId="0" applyFont="1" applyAlignment="1">
      <alignment vertical="center" wrapText="1"/>
    </xf>
    <xf numFmtId="0" fontId="17" fillId="0" borderId="0" xfId="0" applyFont="1" applyAlignment="1">
      <alignment horizontal="left" vertical="center" wrapText="1"/>
    </xf>
    <xf numFmtId="0" fontId="18" fillId="0" borderId="0" xfId="2" applyFont="1" applyAlignment="1">
      <alignment vertical="center" wrapText="1"/>
    </xf>
    <xf numFmtId="9" fontId="18" fillId="0" borderId="0" xfId="7" applyFont="1" applyAlignment="1">
      <alignment vertical="center" wrapText="1"/>
    </xf>
    <xf numFmtId="0" fontId="18" fillId="0" borderId="0" xfId="2" applyFont="1" applyAlignment="1">
      <alignment horizontal="center" vertical="center" wrapText="1"/>
    </xf>
    <xf numFmtId="9" fontId="18" fillId="0" borderId="0" xfId="7" applyFont="1" applyAlignment="1">
      <alignment horizontal="center" vertical="center" wrapText="1"/>
    </xf>
    <xf numFmtId="0" fontId="16" fillId="0" borderId="0" xfId="0" applyFont="1" applyAlignment="1">
      <alignment vertical="center" wrapText="1"/>
    </xf>
    <xf numFmtId="0" fontId="18" fillId="0" borderId="0" xfId="2" applyFont="1" applyAlignment="1">
      <alignment horizontal="right" vertical="center" wrapText="1"/>
    </xf>
    <xf numFmtId="0" fontId="18" fillId="0" borderId="0" xfId="2" applyFont="1" applyAlignment="1">
      <alignment horizontal="left" vertical="center" wrapText="1"/>
    </xf>
    <xf numFmtId="0" fontId="19" fillId="0" borderId="0" xfId="0" applyFont="1" applyAlignment="1">
      <alignment horizontal="right" vertical="center" wrapText="1"/>
    </xf>
    <xf numFmtId="0" fontId="19" fillId="0" borderId="0" xfId="0" applyFont="1" applyAlignment="1">
      <alignment vertical="center" wrapText="1"/>
    </xf>
    <xf numFmtId="0" fontId="19" fillId="0" borderId="0" xfId="0" applyFont="1" applyAlignment="1">
      <alignment horizontal="left" vertical="center" wrapText="1"/>
    </xf>
    <xf numFmtId="0" fontId="6" fillId="5" borderId="1" xfId="0" applyFont="1" applyFill="1" applyBorder="1" applyAlignment="1">
      <alignment horizontal="center" vertical="center" wrapText="1"/>
    </xf>
    <xf numFmtId="0" fontId="4" fillId="0" borderId="2" xfId="2" applyFont="1" applyBorder="1" applyAlignment="1">
      <alignment vertical="center" wrapText="1"/>
    </xf>
    <xf numFmtId="0" fontId="6" fillId="3" borderId="1" xfId="0" applyFont="1" applyFill="1" applyBorder="1" applyAlignment="1">
      <alignment vertical="center" wrapText="1"/>
    </xf>
    <xf numFmtId="0" fontId="6" fillId="11" borderId="1" xfId="0" applyFont="1" applyFill="1" applyBorder="1" applyAlignment="1">
      <alignment vertical="center" wrapText="1"/>
    </xf>
    <xf numFmtId="0" fontId="6" fillId="11" borderId="1" xfId="0" applyFont="1" applyFill="1" applyBorder="1" applyAlignment="1" applyProtection="1">
      <alignment horizontal="center" vertical="center" wrapText="1"/>
      <protection hidden="1"/>
    </xf>
    <xf numFmtId="0" fontId="11" fillId="9" borderId="1" xfId="0" applyFont="1" applyFill="1" applyBorder="1" applyAlignment="1" applyProtection="1">
      <alignment horizontal="center" vertical="center" wrapText="1"/>
      <protection hidden="1"/>
    </xf>
    <xf numFmtId="0" fontId="6" fillId="3" borderId="1" xfId="2" applyFont="1" applyFill="1" applyBorder="1" applyAlignment="1">
      <alignment horizontal="center" vertical="center" wrapText="1"/>
    </xf>
    <xf numFmtId="0" fontId="6" fillId="14" borderId="1" xfId="0" applyFont="1" applyFill="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xf numFmtId="0" fontId="4" fillId="0" borderId="1" xfId="0" applyFont="1" applyBorder="1" applyAlignment="1" applyProtection="1">
      <alignment vertical="center" wrapText="1"/>
      <protection locked="0"/>
    </xf>
    <xf numFmtId="9" fontId="4" fillId="0" borderId="1" xfId="7" applyFont="1" applyBorder="1" applyAlignment="1" applyProtection="1">
      <alignment horizontal="center" vertical="center" wrapText="1"/>
      <protection hidden="1"/>
    </xf>
    <xf numFmtId="0" fontId="4" fillId="10" borderId="1" xfId="2" applyFont="1" applyFill="1" applyBorder="1" applyAlignment="1">
      <alignment horizontal="center" vertical="center" wrapText="1"/>
    </xf>
    <xf numFmtId="0" fontId="4" fillId="0" borderId="1" xfId="2" applyFont="1" applyBorder="1" applyAlignment="1">
      <alignment horizontal="center" vertical="center" wrapText="1"/>
    </xf>
    <xf numFmtId="0" fontId="4" fillId="0" borderId="1" xfId="2" applyFont="1" applyBorder="1" applyAlignment="1">
      <alignment horizontal="left" vertical="center" wrapText="1"/>
    </xf>
    <xf numFmtId="0" fontId="4" fillId="0" borderId="1" xfId="2" applyFont="1" applyBorder="1" applyAlignment="1">
      <alignment horizontal="justify" vertical="center" wrapText="1"/>
    </xf>
    <xf numFmtId="0" fontId="20" fillId="0" borderId="1" xfId="0" applyFont="1" applyBorder="1" applyAlignment="1">
      <alignment horizontal="center" vertical="center" wrapText="1"/>
    </xf>
    <xf numFmtId="0" fontId="4" fillId="0" borderId="1" xfId="0" applyFont="1" applyBorder="1" applyAlignment="1" applyProtection="1">
      <alignment vertical="center" wrapText="1"/>
      <protection hidden="1"/>
    </xf>
    <xf numFmtId="0" fontId="6" fillId="12" borderId="1" xfId="0" applyFont="1" applyFill="1" applyBorder="1" applyAlignment="1" applyProtection="1">
      <alignment horizontal="center" vertical="center" wrapText="1"/>
      <protection hidden="1"/>
    </xf>
    <xf numFmtId="0" fontId="4" fillId="7" borderId="1" xfId="0" applyFont="1" applyFill="1" applyBorder="1" applyAlignment="1" applyProtection="1">
      <alignment horizontal="center" vertical="center" wrapText="1"/>
      <protection hidden="1"/>
    </xf>
    <xf numFmtId="9" fontId="4" fillId="0" borderId="1" xfId="7" applyFont="1" applyBorder="1" applyAlignment="1" applyProtection="1">
      <alignment vertical="center" wrapText="1"/>
      <protection hidden="1"/>
    </xf>
    <xf numFmtId="9" fontId="4" fillId="13" borderId="1" xfId="0" applyNumberFormat="1" applyFont="1" applyFill="1" applyBorder="1" applyAlignment="1" applyProtection="1">
      <alignment horizontal="center" vertical="center" wrapText="1"/>
      <protection hidden="1"/>
    </xf>
    <xf numFmtId="0" fontId="4" fillId="6" borderId="1" xfId="0" applyFont="1" applyFill="1" applyBorder="1" applyAlignment="1">
      <alignment vertical="center" wrapText="1"/>
    </xf>
    <xf numFmtId="0" fontId="4" fillId="8" borderId="1" xfId="0" applyFont="1" applyFill="1" applyBorder="1" applyAlignment="1" applyProtection="1">
      <alignment horizontal="center" vertical="center" wrapText="1"/>
      <protection hidden="1"/>
    </xf>
    <xf numFmtId="0" fontId="4" fillId="8" borderId="1" xfId="0" applyFont="1" applyFill="1" applyBorder="1" applyAlignment="1" applyProtection="1">
      <alignment vertical="center" wrapText="1"/>
      <protection hidden="1"/>
    </xf>
    <xf numFmtId="0" fontId="2" fillId="9" borderId="1" xfId="0" applyFont="1" applyFill="1" applyBorder="1" applyAlignment="1" applyProtection="1">
      <alignment vertical="center" wrapText="1"/>
      <protection hidden="1"/>
    </xf>
    <xf numFmtId="0" fontId="4" fillId="6" borderId="1" xfId="2" applyFont="1" applyFill="1" applyBorder="1" applyAlignment="1">
      <alignment horizontal="justify" vertical="center" wrapText="1"/>
    </xf>
    <xf numFmtId="0" fontId="4" fillId="17"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6" borderId="1" xfId="2" applyFont="1" applyFill="1" applyBorder="1" applyAlignment="1">
      <alignment horizontal="center" vertical="center" wrapText="1"/>
    </xf>
    <xf numFmtId="0" fontId="4" fillId="6" borderId="1" xfId="0" applyFont="1" applyFill="1" applyBorder="1" applyAlignment="1">
      <alignment horizontal="center" vertical="center" wrapText="1"/>
    </xf>
    <xf numFmtId="14" fontId="4" fillId="0" borderId="1" xfId="2" applyNumberFormat="1" applyFont="1" applyBorder="1" applyAlignment="1">
      <alignment horizontal="center" vertical="center" wrapText="1"/>
    </xf>
    <xf numFmtId="0" fontId="4" fillId="0" borderId="1" xfId="2" applyFont="1" applyBorder="1" applyAlignment="1">
      <alignment vertical="center" wrapText="1"/>
    </xf>
    <xf numFmtId="0" fontId="4" fillId="0" borderId="1" xfId="0" applyFont="1" applyBorder="1" applyAlignment="1">
      <alignment horizontal="justify" vertical="center" wrapText="1"/>
    </xf>
    <xf numFmtId="0" fontId="4" fillId="17" borderId="1" xfId="0" applyFont="1" applyFill="1" applyBorder="1" applyAlignment="1">
      <alignment horizontal="center" vertical="center" wrapText="1"/>
    </xf>
    <xf numFmtId="0" fontId="11" fillId="11"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6" fillId="11" borderId="1" xfId="0" applyFont="1" applyFill="1" applyBorder="1" applyAlignment="1" applyProtection="1">
      <alignment horizontal="center" vertical="center" wrapText="1"/>
      <protection hidden="1"/>
    </xf>
    <xf numFmtId="0" fontId="6" fillId="11" borderId="1" xfId="2" applyFont="1" applyFill="1" applyBorder="1" applyAlignment="1">
      <alignment horizontal="center" vertical="center" wrapText="1"/>
    </xf>
    <xf numFmtId="0" fontId="4" fillId="0" borderId="1" xfId="0" applyFont="1" applyBorder="1" applyAlignment="1" applyProtection="1">
      <alignment horizontal="center" vertical="center" wrapText="1"/>
      <protection hidden="1"/>
    </xf>
    <xf numFmtId="0" fontId="6" fillId="4" borderId="1" xfId="2" applyFont="1" applyFill="1" applyBorder="1" applyAlignment="1">
      <alignment horizontal="center" vertical="center" wrapText="1"/>
    </xf>
    <xf numFmtId="0" fontId="12" fillId="11" borderId="1" xfId="2" applyFont="1" applyFill="1" applyBorder="1" applyAlignment="1">
      <alignment horizontal="center" vertical="center" wrapText="1"/>
    </xf>
    <xf numFmtId="0" fontId="14"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6" fillId="5" borderId="1" xfId="1" applyFont="1" applyFill="1" applyBorder="1" applyAlignment="1">
      <alignment horizontal="center" vertical="center" wrapText="1"/>
    </xf>
    <xf numFmtId="0" fontId="0" fillId="15" borderId="6" xfId="0" applyFill="1" applyBorder="1" applyAlignment="1">
      <alignment horizontal="center"/>
    </xf>
    <xf numFmtId="0" fontId="0" fillId="15" borderId="5" xfId="0" applyFill="1" applyBorder="1" applyAlignment="1">
      <alignment horizontal="center"/>
    </xf>
    <xf numFmtId="0" fontId="4" fillId="0" borderId="1" xfId="3" applyFont="1" applyBorder="1" applyAlignment="1">
      <alignment horizontal="justify" vertical="center" wrapText="1"/>
    </xf>
  </cellXfs>
  <cellStyles count="9">
    <cellStyle name="40% - Énfasis6" xfId="1" builtinId="51"/>
    <cellStyle name="Hyperlink" xfId="8" xr:uid="{D15DC8DF-B2FC-4DA4-9994-55858078D7D5}"/>
    <cellStyle name="Normal" xfId="0" builtinId="0"/>
    <cellStyle name="Normal 2" xfId="2" xr:uid="{63B7CBF7-9297-4EF9-9345-6E7C6F6EB684}"/>
    <cellStyle name="Normal 3 2" xfId="3" xr:uid="{D1DB744B-CF4D-4016-BEA0-126AC4EA2657}"/>
    <cellStyle name="Normal 4" xfId="5" xr:uid="{280E66C0-DD4D-4C29-92A9-4B058DF23475}"/>
    <cellStyle name="Normal 5" xfId="4" xr:uid="{EC089A95-74BA-47F9-80AC-8A0050242CAB}"/>
    <cellStyle name="Normal 9" xfId="6" xr:uid="{FE61839D-2183-46BE-8902-908B34398195}"/>
    <cellStyle name="Porcentaje" xfId="7" builtinId="5"/>
  </cellStyles>
  <dxfs count="52">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lor theme="0"/>
      </font>
      <fill>
        <patternFill>
          <bgColor theme="7"/>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6" tint="-0.499984740745262"/>
      </font>
      <fill>
        <patternFill>
          <bgColor theme="6" tint="0.79998168889431442"/>
        </patternFill>
      </fill>
    </dxf>
    <dxf>
      <font>
        <color rgb="FFB0AC00"/>
      </font>
      <fill>
        <patternFill>
          <bgColor rgb="FFFFFFB9"/>
        </patternFill>
      </fill>
    </dxf>
    <dxf>
      <font>
        <condense val="0"/>
        <extend val="0"/>
        <color rgb="FF9C0006"/>
      </font>
      <fill>
        <patternFill>
          <bgColor rgb="FFFFC7CE"/>
        </patternFill>
      </fill>
    </dxf>
    <dxf>
      <font>
        <color theme="6" tint="-0.499984740745262"/>
      </font>
      <fill>
        <patternFill>
          <bgColor theme="6" tint="0.79998168889431442"/>
        </patternFill>
      </fill>
    </dxf>
    <dxf>
      <font>
        <color rgb="FFE7E200"/>
      </font>
      <fill>
        <patternFill>
          <bgColor rgb="FFFFFFD1"/>
        </patternFill>
      </fill>
    </dxf>
    <dxf>
      <font>
        <color rgb="FFB0AC00"/>
      </font>
      <fill>
        <patternFill>
          <bgColor rgb="FFFFFFC1"/>
        </patternFill>
      </fill>
    </dxf>
    <dxf>
      <font>
        <condense val="0"/>
        <extend val="0"/>
        <color rgb="FF9C0006"/>
      </font>
      <fill>
        <patternFill>
          <bgColor rgb="FFFFC7CE"/>
        </patternFill>
      </fill>
    </dxf>
    <dxf>
      <font>
        <color theme="5" tint="-0.24994659260841701"/>
      </font>
      <fill>
        <patternFill>
          <bgColor theme="5" tint="0.79998168889431442"/>
        </patternFill>
      </fill>
    </dxf>
    <dxf>
      <font>
        <condense val="0"/>
        <extend val="0"/>
        <color rgb="FF9C0006"/>
      </font>
      <fill>
        <patternFill>
          <bgColor rgb="FFFFC7CE"/>
        </patternFill>
      </fill>
    </dxf>
    <dxf>
      <font>
        <color rgb="FFFF6600"/>
      </font>
      <fill>
        <patternFill>
          <bgColor rgb="FFFFCC66"/>
        </patternFill>
      </fill>
    </dxf>
    <dxf>
      <font>
        <condense val="0"/>
        <extend val="0"/>
        <color rgb="FF9C6500"/>
      </font>
      <fill>
        <patternFill>
          <bgColor rgb="FFFFEB9C"/>
        </patternFill>
      </fill>
    </dxf>
    <dxf>
      <font>
        <color rgb="FF0070C0"/>
      </font>
      <fill>
        <patternFill>
          <bgColor theme="4" tint="0.59996337778862885"/>
        </patternFill>
      </fill>
    </dxf>
    <dxf>
      <font>
        <condense val="0"/>
        <extend val="0"/>
        <color rgb="FF006100"/>
      </font>
      <fill>
        <patternFill>
          <bgColor rgb="FFC6EFCE"/>
        </patternFill>
      </fill>
    </dxf>
    <dxf>
      <font>
        <condense val="0"/>
        <extend val="0"/>
        <color rgb="FF9C0006"/>
      </font>
      <fill>
        <patternFill>
          <bgColor rgb="FFFFC7CE"/>
        </patternFill>
      </fill>
    </dxf>
    <dxf>
      <font>
        <color rgb="FFFF6600"/>
      </font>
      <fill>
        <patternFill>
          <bgColor rgb="FFFFCC66"/>
        </patternFill>
      </fill>
    </dxf>
    <dxf>
      <font>
        <condense val="0"/>
        <extend val="0"/>
        <color rgb="FF9C6500"/>
      </font>
      <fill>
        <patternFill>
          <bgColor rgb="FFFFEB9C"/>
        </patternFill>
      </fill>
    </dxf>
    <dxf>
      <font>
        <color rgb="FF0070C0"/>
      </font>
      <fill>
        <patternFill>
          <bgColor theme="4" tint="0.59996337778862885"/>
        </patternFill>
      </fill>
    </dxf>
    <dxf>
      <font>
        <condense val="0"/>
        <extend val="0"/>
        <color rgb="FF006100"/>
      </font>
      <fill>
        <patternFill>
          <bgColor rgb="FFC6EFCE"/>
        </patternFill>
      </fill>
    </dxf>
    <dxf>
      <font>
        <condense val="0"/>
        <extend val="0"/>
        <color rgb="FF9C0006"/>
      </font>
      <fill>
        <patternFill>
          <bgColor rgb="FFFFC7CE"/>
        </patternFill>
      </fill>
    </dxf>
    <dxf>
      <font>
        <color rgb="FFFF6600"/>
      </font>
      <fill>
        <patternFill>
          <bgColor rgb="FFFFCC66"/>
        </patternFill>
      </fill>
    </dxf>
    <dxf>
      <font>
        <condense val="0"/>
        <extend val="0"/>
        <color rgb="FF9C6500"/>
      </font>
      <fill>
        <patternFill>
          <bgColor rgb="FFFFEB9C"/>
        </patternFill>
      </fill>
    </dxf>
    <dxf>
      <font>
        <color rgb="FF0070C0"/>
      </font>
      <fill>
        <patternFill>
          <bgColor theme="4" tint="0.59996337778862885"/>
        </patternFill>
      </fill>
    </dxf>
    <dxf>
      <font>
        <condense val="0"/>
        <extend val="0"/>
        <color rgb="FF006100"/>
      </font>
      <fill>
        <patternFill>
          <bgColor rgb="FFC6EFCE"/>
        </patternFill>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1240465</xdr:colOff>
      <xdr:row>0</xdr:row>
      <xdr:rowOff>88605</xdr:rowOff>
    </xdr:from>
    <xdr:to>
      <xdr:col>1</xdr:col>
      <xdr:colOff>609157</xdr:colOff>
      <xdr:row>3</xdr:row>
      <xdr:rowOff>210436</xdr:rowOff>
    </xdr:to>
    <xdr:pic>
      <xdr:nvPicPr>
        <xdr:cNvPr id="2" name="Imagen 1">
          <a:extLst>
            <a:ext uri="{FF2B5EF4-FFF2-40B4-BE49-F238E27FC236}">
              <a16:creationId xmlns:a16="http://schemas.microsoft.com/office/drawing/2014/main" id="{464022A3-D050-41F4-9BEE-D227A6E09542}"/>
            </a:ext>
          </a:extLst>
        </xdr:cNvPr>
        <xdr:cNvPicPr>
          <a:picLocks noChangeAspect="1"/>
        </xdr:cNvPicPr>
      </xdr:nvPicPr>
      <xdr:blipFill>
        <a:blip xmlns:r="http://schemas.openxmlformats.org/officeDocument/2006/relationships" r:embed="rId1"/>
        <a:stretch>
          <a:fillRect/>
        </a:stretch>
      </xdr:blipFill>
      <xdr:spPr>
        <a:xfrm>
          <a:off x="1240465" y="88605"/>
          <a:ext cx="1549917" cy="117910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66675</xdr:colOff>
      <xdr:row>2</xdr:row>
      <xdr:rowOff>171450</xdr:rowOff>
    </xdr:from>
    <xdr:to>
      <xdr:col>11</xdr:col>
      <xdr:colOff>667429</xdr:colOff>
      <xdr:row>11</xdr:row>
      <xdr:rowOff>32807</xdr:rowOff>
    </xdr:to>
    <xdr:pic>
      <xdr:nvPicPr>
        <xdr:cNvPr id="2" name="Imagen 1">
          <a:extLst>
            <a:ext uri="{FF2B5EF4-FFF2-40B4-BE49-F238E27FC236}">
              <a16:creationId xmlns:a16="http://schemas.microsoft.com/office/drawing/2014/main" id="{ABD7F6D9-E818-469E-BF0A-2D3CE07D787C}"/>
            </a:ext>
          </a:extLst>
        </xdr:cNvPr>
        <xdr:cNvPicPr>
          <a:picLocks noChangeAspect="1"/>
        </xdr:cNvPicPr>
      </xdr:nvPicPr>
      <xdr:blipFill>
        <a:blip xmlns:r="http://schemas.openxmlformats.org/officeDocument/2006/relationships" r:embed="rId1"/>
        <a:stretch>
          <a:fillRect/>
        </a:stretch>
      </xdr:blipFill>
      <xdr:spPr>
        <a:xfrm>
          <a:off x="3086100" y="561975"/>
          <a:ext cx="5058454" cy="314748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7D72E-3C27-4BDD-9884-60EE78A57DB6}">
  <dimension ref="A1:BC16"/>
  <sheetViews>
    <sheetView tabSelected="1" topLeftCell="A10" zoomScale="50" zoomScaleNormal="70" workbookViewId="0">
      <selection activeCell="BE10" sqref="BE10"/>
    </sheetView>
  </sheetViews>
  <sheetFormatPr baseColWidth="10" defaultColWidth="11.5" defaultRowHeight="15" x14ac:dyDescent="0.2"/>
  <cols>
    <col min="1" max="1" width="32.6640625" style="69" customWidth="1"/>
    <col min="2" max="2" width="57.1640625" style="67" customWidth="1"/>
    <col min="3" max="3" width="46.6640625" style="67" customWidth="1"/>
    <col min="4" max="4" width="50.5" style="67" customWidth="1"/>
    <col min="5" max="5" width="32.1640625" style="67" customWidth="1"/>
    <col min="6" max="6" width="37" style="67" customWidth="1"/>
    <col min="7" max="7" width="30.5" style="67" customWidth="1"/>
    <col min="8" max="8" width="25" style="69" customWidth="1"/>
    <col min="9" max="9" width="17" style="69" customWidth="1"/>
    <col min="10" max="10" width="15.1640625" style="72" bestFit="1" customWidth="1"/>
    <col min="11" max="11" width="15.1640625" style="72" customWidth="1"/>
    <col min="12" max="12" width="16.5" style="67" customWidth="1"/>
    <col min="13" max="13" width="11.5" style="67" bestFit="1" customWidth="1"/>
    <col min="14" max="14" width="20.1640625" style="73" customWidth="1"/>
    <col min="15" max="15" width="19.33203125" style="67" hidden="1" customWidth="1"/>
    <col min="16" max="16" width="19.83203125" style="67" bestFit="1" customWidth="1"/>
    <col min="17" max="21" width="14.83203125" style="67" hidden="1" customWidth="1"/>
    <col min="22" max="22" width="10.5" style="67" customWidth="1"/>
    <col min="23" max="23" width="47.83203125" style="67" customWidth="1"/>
    <col min="24" max="24" width="14.83203125" style="67" customWidth="1"/>
    <col min="25" max="25" width="16.33203125" style="67" customWidth="1"/>
    <col min="26" max="26" width="14.83203125" style="68" customWidth="1"/>
    <col min="27" max="27" width="15.6640625" style="67" customWidth="1"/>
    <col min="28" max="28" width="14.83203125" style="67" customWidth="1"/>
    <col min="29" max="29" width="25" style="67" customWidth="1"/>
    <col min="30" max="30" width="14.83203125" style="69" customWidth="1"/>
    <col min="31" max="31" width="10.5" style="67" customWidth="1"/>
    <col min="32" max="32" width="71" style="67" customWidth="1"/>
    <col min="33" max="33" width="15.1640625" style="67" customWidth="1"/>
    <col min="34" max="34" width="15.6640625" style="67" bestFit="1" customWidth="1"/>
    <col min="35" max="35" width="15.1640625" style="70" customWidth="1"/>
    <col min="36" max="36" width="15.1640625" style="67" customWidth="1"/>
    <col min="37" max="37" width="14.83203125" style="67" customWidth="1"/>
    <col min="38" max="38" width="16.1640625" style="67" customWidth="1"/>
    <col min="39" max="39" width="9" style="67" customWidth="1"/>
    <col min="40" max="40" width="10.6640625" style="67" customWidth="1"/>
    <col min="41" max="41" width="9.1640625" style="67" customWidth="1"/>
    <col min="42" max="42" width="12.5" style="67" customWidth="1"/>
    <col min="43" max="43" width="17.5" style="67" hidden="1" customWidth="1"/>
    <col min="44" max="44" width="20" style="67" customWidth="1"/>
    <col min="45" max="49" width="17.5" style="67" hidden="1" customWidth="1"/>
    <col min="50" max="50" width="45" style="67" customWidth="1"/>
    <col min="51" max="51" width="52.83203125" style="67" customWidth="1"/>
    <col min="52" max="52" width="31.1640625" style="67" customWidth="1"/>
    <col min="53" max="53" width="13.33203125" style="67" bestFit="1" customWidth="1"/>
    <col min="54" max="54" width="14.83203125" style="67" bestFit="1" customWidth="1"/>
    <col min="55" max="55" width="35.5" style="67" customWidth="1"/>
    <col min="56" max="16384" width="11.5" style="67"/>
  </cols>
  <sheetData>
    <row r="1" spans="1:55" ht="27.75" customHeight="1" x14ac:dyDescent="0.2">
      <c r="A1" s="119"/>
      <c r="B1" s="119"/>
      <c r="C1" s="120" t="s">
        <v>208</v>
      </c>
      <c r="D1" s="120"/>
      <c r="E1" s="18" t="s">
        <v>41</v>
      </c>
      <c r="F1" s="18" t="s">
        <v>42</v>
      </c>
      <c r="G1" s="62"/>
      <c r="H1" s="63"/>
      <c r="I1" s="63"/>
      <c r="J1" s="64"/>
      <c r="K1" s="64"/>
      <c r="L1" s="65"/>
      <c r="M1" s="65"/>
      <c r="N1" s="66"/>
      <c r="O1" s="65"/>
    </row>
    <row r="2" spans="1:55" ht="27.75" customHeight="1" x14ac:dyDescent="0.2">
      <c r="A2" s="119"/>
      <c r="B2" s="119"/>
      <c r="C2" s="120"/>
      <c r="D2" s="120"/>
      <c r="E2" s="2" t="s">
        <v>43</v>
      </c>
      <c r="F2" s="2">
        <v>1</v>
      </c>
      <c r="G2" s="62"/>
      <c r="H2" s="63"/>
      <c r="I2" s="63"/>
      <c r="J2" s="64"/>
      <c r="K2" s="64"/>
      <c r="L2" s="65"/>
      <c r="M2" s="65"/>
      <c r="N2" s="66"/>
      <c r="O2" s="65"/>
    </row>
    <row r="3" spans="1:55" ht="27.75" customHeight="1" x14ac:dyDescent="0.2">
      <c r="A3" s="119"/>
      <c r="B3" s="119"/>
      <c r="C3" s="120"/>
      <c r="D3" s="120"/>
      <c r="E3" s="18" t="s">
        <v>44</v>
      </c>
      <c r="F3" s="18" t="s">
        <v>45</v>
      </c>
      <c r="G3" s="62"/>
      <c r="H3" s="63"/>
      <c r="I3" s="63"/>
      <c r="J3" s="64"/>
      <c r="K3" s="64"/>
      <c r="L3" s="65"/>
      <c r="M3" s="65"/>
      <c r="N3" s="66"/>
      <c r="O3" s="65"/>
    </row>
    <row r="4" spans="1:55" ht="27.75" customHeight="1" x14ac:dyDescent="0.2">
      <c r="A4" s="119"/>
      <c r="B4" s="119"/>
      <c r="C4" s="120"/>
      <c r="D4" s="120"/>
      <c r="E4" s="4">
        <v>45700</v>
      </c>
      <c r="F4" s="2" t="s">
        <v>46</v>
      </c>
      <c r="G4" s="62"/>
      <c r="H4" s="63"/>
      <c r="I4" s="63"/>
      <c r="J4" s="64"/>
      <c r="K4" s="64"/>
      <c r="L4" s="65"/>
      <c r="M4" s="65"/>
      <c r="N4" s="66"/>
      <c r="O4" s="65"/>
    </row>
    <row r="5" spans="1:55" ht="17.25" customHeight="1" x14ac:dyDescent="0.2">
      <c r="B5" s="71"/>
      <c r="C5" s="71"/>
      <c r="D5" s="71"/>
      <c r="E5" s="71"/>
      <c r="F5" s="71"/>
      <c r="G5" s="71"/>
      <c r="H5" s="63"/>
      <c r="I5" s="63"/>
      <c r="J5" s="64"/>
      <c r="K5" s="64"/>
      <c r="L5" s="65"/>
      <c r="M5" s="65"/>
      <c r="N5" s="66"/>
      <c r="O5" s="65"/>
    </row>
    <row r="6" spans="1:55" s="1" customFormat="1" ht="18.75" customHeight="1" x14ac:dyDescent="0.2">
      <c r="A6" s="5" t="s">
        <v>209</v>
      </c>
      <c r="H6" s="3"/>
      <c r="I6" s="3"/>
      <c r="J6" s="74"/>
      <c r="K6" s="74"/>
      <c r="L6" s="75"/>
      <c r="M6" s="75"/>
      <c r="N6" s="76"/>
      <c r="O6" s="75"/>
      <c r="Z6" s="13"/>
      <c r="AD6" s="5"/>
      <c r="AI6" s="16"/>
    </row>
    <row r="7" spans="1:55" s="6" customFormat="1" ht="15" customHeight="1" x14ac:dyDescent="0.2">
      <c r="Q7" s="78"/>
      <c r="R7" s="78"/>
      <c r="S7" s="78"/>
      <c r="T7" s="78"/>
      <c r="U7" s="78"/>
      <c r="Z7" s="14"/>
      <c r="AD7" s="15"/>
      <c r="AI7" s="17"/>
      <c r="AO7" s="12"/>
      <c r="AP7" s="12"/>
      <c r="AQ7" s="12"/>
    </row>
    <row r="8" spans="1:55" s="6" customFormat="1" ht="15" customHeight="1" x14ac:dyDescent="0.2">
      <c r="A8" s="7"/>
      <c r="B8" s="7"/>
      <c r="C8" s="79" t="s">
        <v>0</v>
      </c>
      <c r="D8" s="79"/>
      <c r="E8" s="79"/>
      <c r="F8" s="79"/>
      <c r="G8" s="79"/>
      <c r="H8" s="79"/>
      <c r="I8" s="79"/>
      <c r="J8" s="80"/>
      <c r="K8" s="80"/>
      <c r="L8" s="80"/>
      <c r="M8" s="79"/>
      <c r="N8" s="80"/>
      <c r="O8" s="79"/>
      <c r="P8" s="80"/>
      <c r="Q8" s="116" t="s">
        <v>2</v>
      </c>
      <c r="R8" s="116" t="s">
        <v>3</v>
      </c>
      <c r="S8" s="116" t="s">
        <v>4</v>
      </c>
      <c r="T8" s="116" t="s">
        <v>5</v>
      </c>
      <c r="U8" s="116" t="s">
        <v>6</v>
      </c>
      <c r="V8" s="117" t="s">
        <v>62</v>
      </c>
      <c r="W8" s="117"/>
      <c r="X8" s="117"/>
      <c r="Y8" s="117"/>
      <c r="Z8" s="117"/>
      <c r="AA8" s="117"/>
      <c r="AB8" s="117"/>
      <c r="AC8" s="117"/>
      <c r="AD8" s="118" t="s">
        <v>30</v>
      </c>
      <c r="AE8" s="117" t="s">
        <v>61</v>
      </c>
      <c r="AF8" s="117"/>
      <c r="AG8" s="117"/>
      <c r="AH8" s="117"/>
      <c r="AI8" s="117"/>
      <c r="AJ8" s="117"/>
      <c r="AK8" s="117"/>
      <c r="AL8" s="117"/>
      <c r="AM8" s="115" t="s">
        <v>123</v>
      </c>
      <c r="AN8" s="115"/>
      <c r="AO8" s="114" t="s">
        <v>11</v>
      </c>
      <c r="AP8" s="114"/>
      <c r="AQ8" s="82"/>
      <c r="AR8" s="111" t="s">
        <v>31</v>
      </c>
      <c r="AS8" s="42" t="s">
        <v>2</v>
      </c>
      <c r="AT8" s="42" t="s">
        <v>3</v>
      </c>
      <c r="AU8" s="42" t="s">
        <v>4</v>
      </c>
      <c r="AV8" s="42" t="s">
        <v>5</v>
      </c>
      <c r="AW8" s="42" t="s">
        <v>6</v>
      </c>
      <c r="AX8" s="112" t="s">
        <v>13</v>
      </c>
      <c r="AY8" s="121" t="s">
        <v>1</v>
      </c>
      <c r="AZ8" s="121"/>
      <c r="BA8" s="121"/>
      <c r="BB8" s="121"/>
      <c r="BC8" s="121"/>
    </row>
    <row r="9" spans="1:55" s="6" customFormat="1" ht="33" customHeight="1" x14ac:dyDescent="0.2">
      <c r="A9" s="83" t="s">
        <v>7</v>
      </c>
      <c r="B9" s="83" t="s">
        <v>8</v>
      </c>
      <c r="C9" s="83" t="s">
        <v>9</v>
      </c>
      <c r="D9" s="42" t="s">
        <v>10</v>
      </c>
      <c r="E9" s="83" t="s">
        <v>48</v>
      </c>
      <c r="F9" s="42" t="s">
        <v>21</v>
      </c>
      <c r="G9" s="83" t="s">
        <v>58</v>
      </c>
      <c r="H9" s="42" t="s">
        <v>113</v>
      </c>
      <c r="I9" s="42" t="s">
        <v>47</v>
      </c>
      <c r="J9" s="113" t="s">
        <v>40</v>
      </c>
      <c r="K9" s="113"/>
      <c r="L9" s="113"/>
      <c r="M9" s="112" t="s">
        <v>11</v>
      </c>
      <c r="N9" s="112"/>
      <c r="O9" s="79"/>
      <c r="P9" s="43" t="s">
        <v>32</v>
      </c>
      <c r="Q9" s="116"/>
      <c r="R9" s="116"/>
      <c r="S9" s="116"/>
      <c r="T9" s="116"/>
      <c r="U9" s="116"/>
      <c r="V9" s="84" t="s">
        <v>28</v>
      </c>
      <c r="W9" s="42" t="s">
        <v>12</v>
      </c>
      <c r="X9" s="43" t="s">
        <v>23</v>
      </c>
      <c r="Y9" s="42" t="s">
        <v>24</v>
      </c>
      <c r="Z9" s="44" t="s">
        <v>25</v>
      </c>
      <c r="AA9" s="42" t="s">
        <v>26</v>
      </c>
      <c r="AB9" s="42" t="s">
        <v>22</v>
      </c>
      <c r="AC9" s="42" t="s">
        <v>27</v>
      </c>
      <c r="AD9" s="118"/>
      <c r="AE9" s="81" t="s">
        <v>29</v>
      </c>
      <c r="AF9" s="42" t="s">
        <v>12</v>
      </c>
      <c r="AG9" s="43" t="s">
        <v>23</v>
      </c>
      <c r="AH9" s="42" t="s">
        <v>24</v>
      </c>
      <c r="AI9" s="44" t="s">
        <v>25</v>
      </c>
      <c r="AJ9" s="42" t="s">
        <v>26</v>
      </c>
      <c r="AK9" s="42" t="s">
        <v>22</v>
      </c>
      <c r="AL9" s="42" t="s">
        <v>27</v>
      </c>
      <c r="AM9" s="115"/>
      <c r="AN9" s="115"/>
      <c r="AO9" s="114"/>
      <c r="AP9" s="114"/>
      <c r="AQ9" s="82"/>
      <c r="AR9" s="111"/>
      <c r="AS9" s="42"/>
      <c r="AT9" s="42"/>
      <c r="AU9" s="42"/>
      <c r="AV9" s="42"/>
      <c r="AW9" s="42"/>
      <c r="AX9" s="112"/>
      <c r="AY9" s="77" t="s">
        <v>14</v>
      </c>
      <c r="AZ9" s="77" t="s">
        <v>15</v>
      </c>
      <c r="BA9" s="77" t="s">
        <v>16</v>
      </c>
      <c r="BB9" s="77" t="s">
        <v>17</v>
      </c>
      <c r="BC9" s="77" t="s">
        <v>18</v>
      </c>
    </row>
    <row r="10" spans="1:55" s="1" customFormat="1" ht="219" customHeight="1" x14ac:dyDescent="0.2">
      <c r="A10" s="88" t="s">
        <v>53</v>
      </c>
      <c r="B10" s="91" t="s">
        <v>112</v>
      </c>
      <c r="C10" s="90" t="s">
        <v>59</v>
      </c>
      <c r="D10" s="91" t="s">
        <v>111</v>
      </c>
      <c r="E10" s="91" t="s">
        <v>110</v>
      </c>
      <c r="F10" s="91" t="s">
        <v>117</v>
      </c>
      <c r="G10" s="90" t="s">
        <v>60</v>
      </c>
      <c r="H10" s="89" t="s">
        <v>19</v>
      </c>
      <c r="I10" s="92">
        <v>12</v>
      </c>
      <c r="J10" s="86">
        <v>1</v>
      </c>
      <c r="K10" s="87" t="str">
        <f t="shared" ref="K10" si="0">IF(J10=1,"20%",IF(J10=2,40%,IF(J10=3,60%,IF(J10=4,80%,100%))))</f>
        <v>20%</v>
      </c>
      <c r="L10" s="85" t="str">
        <f t="shared" ref="L10" si="1">IF(J10=1,"Rara vez",IF(J10=2,"Improbable",IF(J10=3,"Posible",IF(J10=4,"Probable","Casi Seguro"))))</f>
        <v>Rara vez</v>
      </c>
      <c r="M10" s="89">
        <v>3</v>
      </c>
      <c r="N10" s="85" t="s">
        <v>174</v>
      </c>
      <c r="O10" s="93">
        <v>31</v>
      </c>
      <c r="P10" s="94" t="s">
        <v>175</v>
      </c>
      <c r="Q10" s="93" t="str">
        <f>IF(O10=11,"Moderado 1:1",IF(O10=12,"ALTO 2:1",IF(O10=13,"EXTREMO 3:1",IF(O10=14,"MODERADA 4:1","EXTREMA 5:1"))))</f>
        <v>EXTREMA 5:1</v>
      </c>
      <c r="R10" s="93" t="str">
        <f>IF(O10=21,"ALTO 1:2",IF(O10=22,"ALTO 2:2",IF(O10=23,"EXTREMO 3:2",IF($O10=24,"ALTO 4:2","EXTREMO 5:2"))))</f>
        <v>EXTREMO 5:2</v>
      </c>
      <c r="S10" s="93" t="str">
        <f>IF(O10=31,"EXTREMO 1:3",IF(O10=32,"EXTREMO 2:3",IF(O10=33,"EXTREMO 3:3",IF(O10=34,"EXTREMO 4:3","EXTREMO 5:1"))))</f>
        <v>EXTREMO 1:3</v>
      </c>
      <c r="T10" s="93" t="str">
        <f>IF(O10=41,"ALTA 1:4",IF(O10=42,"MAYOR 2:4",IF(O10=43,"EXTREMO 3:4",IF(O10=44,"EXTREMA 4:4","EXTREMO 5:2"))))</f>
        <v>EXTREMO 5:2</v>
      </c>
      <c r="U10" s="93" t="str">
        <f>IF(O10=51,"ALTA 1:5",IF(O10=52,"MAYOR 2:5",IF(O10=53,"EXTREMO 3:5",IF(O10=54,"EXTREMA 4:5","EXTREMO 5:3"))))</f>
        <v>EXTREMO 5:3</v>
      </c>
      <c r="V10" s="95">
        <v>1</v>
      </c>
      <c r="W10" s="2" t="s">
        <v>119</v>
      </c>
      <c r="X10" s="85" t="s">
        <v>33</v>
      </c>
      <c r="Y10" s="85" t="s">
        <v>34</v>
      </c>
      <c r="Z10" s="87">
        <v>0.4</v>
      </c>
      <c r="AA10" s="85" t="s">
        <v>120</v>
      </c>
      <c r="AB10" s="85" t="s">
        <v>122</v>
      </c>
      <c r="AC10" s="85" t="s">
        <v>121</v>
      </c>
      <c r="AD10" s="97">
        <v>0.12</v>
      </c>
      <c r="AE10" s="95">
        <v>2</v>
      </c>
      <c r="AF10" s="2"/>
      <c r="AG10" s="85"/>
      <c r="AH10" s="85"/>
      <c r="AI10" s="87">
        <v>0</v>
      </c>
      <c r="AJ10" s="2"/>
      <c r="AK10" s="2"/>
      <c r="AL10" s="2"/>
      <c r="AM10" s="106">
        <v>1</v>
      </c>
      <c r="AN10" s="97">
        <v>0.12</v>
      </c>
      <c r="AO10" s="99">
        <v>3</v>
      </c>
      <c r="AP10" s="99" t="s">
        <v>174</v>
      </c>
      <c r="AQ10" s="101">
        <f t="shared" ref="AQ10:AQ14" si="2">IF(AO10=2,AM10+20,IF(AO10=3,AM10+30,IF(AO10=4,AM10+40,IF(AO10=5,AM10+50,AM10+10))))</f>
        <v>31</v>
      </c>
      <c r="AR10" s="94" t="str">
        <f t="shared" ref="AR10:AR14" si="3">IF(AO10=1,AS10,IF(AO10=2,AT10,IF(AO10=3,AU10,IF(AO10=4,AV10,AW10))))</f>
        <v>EXTREMO 1:3</v>
      </c>
      <c r="AS10" s="93" t="str">
        <f>IF(AQ10=11,"MODERADO 1:1",IF(AQ10=12,"MODERADO 2:1",IF(AQ10=13,"ALTO 3:1",IF(AQ10=14,"ALTO 4:1","ALTO 5:1"))))</f>
        <v>ALTO 5:1</v>
      </c>
      <c r="AT10" s="93" t="str">
        <f>IF(AQ10=21,"ALTO 1:2",IF(AQ10=22,"ALTO 2:2",IF(AQ10=23,"EXTREMO 3:2",IF($O10=24,"EXTREMO 4:2","EXTREMO 5:2"))))</f>
        <v>EXTREMO 5:2</v>
      </c>
      <c r="AU10" s="93" t="str">
        <f>IF(AQ10=31,"EXTREMO 1:3",IF(AQ10=32,"EXTREMO 2:3",IF(AQ10=33,"EXTREMOO 3:3",IF(AQ10=34,"EXTREMO 4:3","EXTREMO 5:3"))))</f>
        <v>EXTREMO 1:3</v>
      </c>
      <c r="AV10" s="93" t="str">
        <f t="shared" ref="AV10:AV14" si="4">IF(AQ10=41,"ALTA 1:4",IF(AQ10=42,"CATASTROFICO 2:4",IF(AQ10=43,"CATASTROFICO 3:4",IF(AQ10=44,"CATASTROFICO 4:4","CATASTROFICO 5:4"))))</f>
        <v>CATASTROFICO 5:4</v>
      </c>
      <c r="AW10" s="93" t="str">
        <f t="shared" ref="AW10:AW14" si="5">IF(AQ10=51,"ALTA 1:5",IF(AQ10=52,"EXTREMA 2:5",IF(AQ10=53,"EXTREMA 3:5",IF(AQ10=54,"EXTREMA 4:5","EXTREMA 5:5"))))</f>
        <v>EXTREMA 5:5</v>
      </c>
      <c r="AX10" s="89" t="s">
        <v>20</v>
      </c>
      <c r="AY10" s="91" t="s">
        <v>176</v>
      </c>
      <c r="AZ10" s="89" t="s">
        <v>118</v>
      </c>
      <c r="BA10" s="107">
        <v>46023</v>
      </c>
      <c r="BB10" s="107">
        <v>46387</v>
      </c>
      <c r="BC10" s="89" t="s">
        <v>124</v>
      </c>
    </row>
    <row r="11" spans="1:55" s="1" customFormat="1" ht="107.25" customHeight="1" x14ac:dyDescent="0.2">
      <c r="A11" s="88" t="s">
        <v>54</v>
      </c>
      <c r="B11" s="2" t="s">
        <v>55</v>
      </c>
      <c r="C11" s="108" t="s">
        <v>56</v>
      </c>
      <c r="D11" s="108" t="s">
        <v>125</v>
      </c>
      <c r="E11" s="108" t="s">
        <v>57</v>
      </c>
      <c r="F11" s="91" t="s">
        <v>126</v>
      </c>
      <c r="G11" s="91" t="s">
        <v>127</v>
      </c>
      <c r="H11" s="89" t="s">
        <v>19</v>
      </c>
      <c r="I11" s="92">
        <v>12</v>
      </c>
      <c r="J11" s="86">
        <v>1</v>
      </c>
      <c r="K11" s="87" t="str">
        <f t="shared" ref="K11" si="6">IF(J11=1,"20%",IF(J11=2,40%,IF(J11=3,60%,IF(J11=4,80%,100%))))</f>
        <v>20%</v>
      </c>
      <c r="L11" s="85" t="str">
        <f t="shared" ref="L11" si="7">IF(J11=1,"Rara vez",IF(J11=2,"Improbable",IF(J11=3,"Posible",IF(J11=4,"Probable","Casi Seguro"))))</f>
        <v>Rara vez</v>
      </c>
      <c r="M11" s="89">
        <v>1</v>
      </c>
      <c r="N11" s="85" t="s">
        <v>177</v>
      </c>
      <c r="O11" s="93">
        <f t="shared" ref="O11:O14" si="8">IF(M11=2,J11+20,IF(M11=3,J11+30,IF(M11=4,J11+40,IF(M11=5,J11+50,J11+10))))</f>
        <v>11</v>
      </c>
      <c r="P11" s="94" t="str">
        <f t="shared" ref="P11:P12" si="9">IF(M11=1,Q11,IF(M11=2,R11,IF(M11=3,S11,IF(M11=4,T11,U11))))</f>
        <v>Moderado 1:1</v>
      </c>
      <c r="Q11" s="93" t="str">
        <f t="shared" ref="Q11:Q12" si="10">IF(O11=11,"Moderado 1:1",IF(O11=12,"ALTO 2:1",IF(O11=13,"EXTREMO 3:1",IF(O11=14,"MODERADA 4:1","EXTREMA 5:1"))))</f>
        <v>Moderado 1:1</v>
      </c>
      <c r="R11" s="93" t="str">
        <f t="shared" ref="R11:R12" si="11">IF(O11=21,"ALTO 1:2",IF(O11=22,"ALTO 2:2",IF(O11=23,"EXTREMO 3:2",IF($O11=24,"ALTO 4:2","EXTREMO 5:2"))))</f>
        <v>EXTREMO 5:2</v>
      </c>
      <c r="S11" s="93" t="str">
        <f t="shared" ref="S11:S12" si="12">IF(O11=31,"EXTREMO 1:3",IF(O11=32,"EXTREMO 2:3",IF(O11=33,"EXTREMO 3:3",IF(O11=34,"EXTREMO 4:3","EXTREMO 5:1"))))</f>
        <v>EXTREMO 5:1</v>
      </c>
      <c r="T11" s="93" t="str">
        <f t="shared" ref="T11:T12" si="13">IF(O11=41,"ALTA 1:4",IF(O11=42,"MAYOR 2:4",IF(O11=43,"EXTREMO 3:4",IF(O11=44,"EXTREMA 4:4","EXTREMO 5:2"))))</f>
        <v>EXTREMO 5:2</v>
      </c>
      <c r="U11" s="93" t="str">
        <f t="shared" ref="U11:U12" si="14">IF(O11=51,"ALTA 1:5",IF(O11=52,"MAYOR 2:5",IF(O11=53,"EXTREMO 3:5",IF(O11=54,"EXTREMA 4:5","EXTREMO 5:3"))))</f>
        <v>EXTREMO 5:3</v>
      </c>
      <c r="V11" s="95">
        <v>1</v>
      </c>
      <c r="W11" s="109" t="s">
        <v>128</v>
      </c>
      <c r="X11" s="93" t="s">
        <v>33</v>
      </c>
      <c r="Y11" s="93" t="s">
        <v>34</v>
      </c>
      <c r="Z11" s="96">
        <v>0.4</v>
      </c>
      <c r="AA11" s="93" t="s">
        <v>129</v>
      </c>
      <c r="AB11" s="93" t="s">
        <v>130</v>
      </c>
      <c r="AC11" s="93" t="s">
        <v>178</v>
      </c>
      <c r="AD11" s="97">
        <v>0.12</v>
      </c>
      <c r="AE11" s="95">
        <v>2</v>
      </c>
      <c r="AF11" s="2" t="s">
        <v>131</v>
      </c>
      <c r="AG11" s="85" t="s">
        <v>36</v>
      </c>
      <c r="AH11" s="85" t="s">
        <v>34</v>
      </c>
      <c r="AI11" s="87">
        <v>0.3</v>
      </c>
      <c r="AJ11" s="2" t="s">
        <v>129</v>
      </c>
      <c r="AK11" s="2" t="s">
        <v>130</v>
      </c>
      <c r="AL11" s="2" t="s">
        <v>179</v>
      </c>
      <c r="AM11" s="98">
        <v>1</v>
      </c>
      <c r="AN11" s="97">
        <v>8.3999999999999991E-2</v>
      </c>
      <c r="AO11" s="99">
        <v>1</v>
      </c>
      <c r="AP11" s="100" t="s">
        <v>177</v>
      </c>
      <c r="AQ11" s="101">
        <f t="shared" si="2"/>
        <v>11</v>
      </c>
      <c r="AR11" s="94" t="str">
        <f t="shared" si="3"/>
        <v>MODERADO 1:1</v>
      </c>
      <c r="AS11" s="93" t="str">
        <f t="shared" ref="AS11:AS12" si="15">IF(AQ11=11,"MODERADO 1:1",IF(AQ11=12,"MODERADO 2:1",IF(AQ11=13,"ALTO 3:1",IF(AQ11=14,"ALTO 4:1","ALTO 5:1"))))</f>
        <v>MODERADO 1:1</v>
      </c>
      <c r="AT11" s="93" t="str">
        <f t="shared" ref="AT11:AT12" si="16">IF(AQ11=21,"ALTO 1:2",IF(AQ11=22,"ALTO 2:2",IF(AQ11=23,"EXTREMO 3:2",IF($O11=24,"EXTREMO 4:2","EXTREMO 5:2"))))</f>
        <v>EXTREMO 5:2</v>
      </c>
      <c r="AU11" s="93" t="str">
        <f t="shared" ref="AU11:AU12" si="17">IF(AQ11=31,"EXTREMO 1:3",IF(AQ11=32,"EXTREMO 2:3",IF(AQ11=33,"EXTREMOO 3:3",IF(AQ11=34,"EXTREMO 4:3","EXTREMO 5:3"))))</f>
        <v>EXTREMO 5:3</v>
      </c>
      <c r="AV11" s="93" t="str">
        <f t="shared" si="4"/>
        <v>CATASTROFICO 5:4</v>
      </c>
      <c r="AW11" s="93" t="str">
        <f t="shared" si="5"/>
        <v>EXTREMA 5:5</v>
      </c>
      <c r="AX11" s="89" t="s">
        <v>20</v>
      </c>
      <c r="AY11" s="91" t="s">
        <v>132</v>
      </c>
      <c r="AZ11" s="89" t="s">
        <v>133</v>
      </c>
      <c r="BA11" s="107">
        <v>46023</v>
      </c>
      <c r="BB11" s="107">
        <v>46387</v>
      </c>
      <c r="BC11" s="89" t="s">
        <v>134</v>
      </c>
    </row>
    <row r="12" spans="1:55" s="1" customFormat="1" ht="409.5" customHeight="1" x14ac:dyDescent="0.2">
      <c r="A12" s="88" t="s">
        <v>50</v>
      </c>
      <c r="B12" s="89" t="s">
        <v>51</v>
      </c>
      <c r="C12" s="90" t="s">
        <v>52</v>
      </c>
      <c r="D12" s="91" t="s">
        <v>135</v>
      </c>
      <c r="E12" s="91" t="s">
        <v>136</v>
      </c>
      <c r="F12" s="91" t="s">
        <v>137</v>
      </c>
      <c r="G12" s="91" t="s">
        <v>138</v>
      </c>
      <c r="H12" s="89" t="s">
        <v>19</v>
      </c>
      <c r="I12" s="92">
        <v>12</v>
      </c>
      <c r="J12" s="86">
        <v>1</v>
      </c>
      <c r="K12" s="87" t="str">
        <f t="shared" ref="K12:K13" si="18">IF(J12=1,"20%",IF(J12=2,40%,IF(J12=3,60%,IF(J12=4,80%,100%))))</f>
        <v>20%</v>
      </c>
      <c r="L12" s="85" t="str">
        <f t="shared" ref="L12:L13" si="19">IF(J12=1,"Rara vez",IF(J12=2,"Improbable",IF(J12=3,"Posible",IF(J12=4,"Probable","Casi Seguro"))))</f>
        <v>Rara vez</v>
      </c>
      <c r="M12" s="89">
        <v>3</v>
      </c>
      <c r="N12" s="85" t="str">
        <f t="shared" ref="N12:N14" si="20">IF(M12=1,"Moderado",IF(M12=2,"Mayor",IF(M12=3,"Catastrofico",)))</f>
        <v>Catastrofico</v>
      </c>
      <c r="O12" s="93">
        <f t="shared" si="8"/>
        <v>31</v>
      </c>
      <c r="P12" s="94" t="str">
        <f t="shared" si="9"/>
        <v>EXTREMO 1:3</v>
      </c>
      <c r="Q12" s="93" t="str">
        <f t="shared" si="10"/>
        <v>EXTREMA 5:1</v>
      </c>
      <c r="R12" s="93" t="str">
        <f t="shared" si="11"/>
        <v>EXTREMO 5:2</v>
      </c>
      <c r="S12" s="93" t="str">
        <f t="shared" si="12"/>
        <v>EXTREMO 1:3</v>
      </c>
      <c r="T12" s="93" t="str">
        <f t="shared" si="13"/>
        <v>EXTREMO 5:2</v>
      </c>
      <c r="U12" s="93" t="str">
        <f t="shared" si="14"/>
        <v>EXTREMO 5:3</v>
      </c>
      <c r="V12" s="95">
        <v>1</v>
      </c>
      <c r="W12" s="2" t="s">
        <v>139</v>
      </c>
      <c r="X12" s="93" t="s">
        <v>33</v>
      </c>
      <c r="Y12" s="93" t="s">
        <v>34</v>
      </c>
      <c r="Z12" s="96">
        <f t="shared" ref="Z12:Z13" si="21">IF(AND(X12="Preventivo",Y12="Manual"),40%,IF(AND(X12="Preventivo",Y12="Automatico"),50%,0))</f>
        <v>0.4</v>
      </c>
      <c r="AA12" s="93" t="s">
        <v>129</v>
      </c>
      <c r="AB12" s="93" t="s">
        <v>140</v>
      </c>
      <c r="AC12" s="93" t="s">
        <v>141</v>
      </c>
      <c r="AD12" s="97">
        <f t="shared" ref="AD12:AD13" si="22">K12-(K12*Z12)</f>
        <v>0.12</v>
      </c>
      <c r="AE12" s="95">
        <v>2</v>
      </c>
      <c r="AF12" s="2" t="s">
        <v>142</v>
      </c>
      <c r="AG12" s="85" t="s">
        <v>36</v>
      </c>
      <c r="AH12" s="85" t="s">
        <v>34</v>
      </c>
      <c r="AI12" s="87">
        <f t="shared" ref="AI12:AI13" si="23">IF(AND(AG12="Detectivo",AH12="Manual"),30%,IF(AND(AG12="Detectivo",AH12="Automatico"),40%,0))</f>
        <v>0.3</v>
      </c>
      <c r="AJ12" s="2" t="s">
        <v>129</v>
      </c>
      <c r="AK12" s="2" t="s">
        <v>143</v>
      </c>
      <c r="AL12" s="2" t="s">
        <v>144</v>
      </c>
      <c r="AM12" s="98" cm="1">
        <f t="array" ref="AM12">IF(AND(AN12&lt;=20%,AN12&gt;1%),1,IF(AND(AN12&lt;=40%,AN12&gt;20%),2,IF(AND(AN12&lt;=80%,AN12&gt;40%),3,IF(AND(AN12&lt;=100%,AN&gt;80%),4,IF(AN12=100%,5)))))</f>
        <v>1</v>
      </c>
      <c r="AN12" s="97">
        <f t="shared" ref="AN12:AN13" si="24">AD12-(AD12*AI12)</f>
        <v>8.3999999999999991E-2</v>
      </c>
      <c r="AO12" s="99">
        <f t="shared" ref="AO12:AO13" si="25">+M12</f>
        <v>3</v>
      </c>
      <c r="AP12" s="100" t="str">
        <f t="shared" ref="AP12:AP14" si="26">IF(AO12=1,"Moderado",IF(AO12=2,"Mayor",IF(AO12=3,"Catastrofico",)))</f>
        <v>Catastrofico</v>
      </c>
      <c r="AQ12" s="101">
        <f t="shared" si="2"/>
        <v>31</v>
      </c>
      <c r="AR12" s="94" t="str">
        <f t="shared" si="3"/>
        <v>EXTREMO 1:3</v>
      </c>
      <c r="AS12" s="93" t="str">
        <f t="shared" si="15"/>
        <v>ALTO 5:1</v>
      </c>
      <c r="AT12" s="93" t="str">
        <f t="shared" si="16"/>
        <v>EXTREMO 5:2</v>
      </c>
      <c r="AU12" s="93" t="str">
        <f t="shared" si="17"/>
        <v>EXTREMO 1:3</v>
      </c>
      <c r="AV12" s="93" t="str">
        <f t="shared" si="4"/>
        <v>CATASTROFICO 5:4</v>
      </c>
      <c r="AW12" s="93" t="str">
        <f t="shared" si="5"/>
        <v>EXTREMA 5:5</v>
      </c>
      <c r="AX12" s="89" t="s">
        <v>20</v>
      </c>
      <c r="AY12" s="102" t="s">
        <v>145</v>
      </c>
      <c r="AZ12" s="89" t="s">
        <v>146</v>
      </c>
      <c r="BA12" s="107">
        <v>46023</v>
      </c>
      <c r="BB12" s="107">
        <v>46387</v>
      </c>
      <c r="BC12" s="89" t="s">
        <v>49</v>
      </c>
    </row>
    <row r="13" spans="1:55" s="1" customFormat="1" ht="105" customHeight="1" x14ac:dyDescent="0.2">
      <c r="A13" s="88" t="s">
        <v>147</v>
      </c>
      <c r="B13" s="89" t="s">
        <v>148</v>
      </c>
      <c r="C13" s="90" t="s">
        <v>149</v>
      </c>
      <c r="D13" s="91" t="s">
        <v>150</v>
      </c>
      <c r="E13" s="103" t="s">
        <v>151</v>
      </c>
      <c r="F13" s="91" t="s">
        <v>152</v>
      </c>
      <c r="G13" s="91" t="s">
        <v>153</v>
      </c>
      <c r="H13" s="89" t="s">
        <v>19</v>
      </c>
      <c r="I13" s="92">
        <v>1</v>
      </c>
      <c r="J13" s="86">
        <f t="shared" ref="J13" si="27">IF(I13&lt;3,1,IF(I13&lt;25,2,IF(I13&lt;500,3,IF(I13&lt;5000,4,IF(I13&gt;5000,5,0)))))</f>
        <v>1</v>
      </c>
      <c r="K13" s="87" t="str">
        <f t="shared" si="18"/>
        <v>20%</v>
      </c>
      <c r="L13" s="85" t="str">
        <f t="shared" si="19"/>
        <v>Rara vez</v>
      </c>
      <c r="M13" s="89">
        <v>2</v>
      </c>
      <c r="N13" s="85" t="str">
        <f t="shared" si="20"/>
        <v>Mayor</v>
      </c>
      <c r="O13" s="93">
        <f t="shared" si="8"/>
        <v>21</v>
      </c>
      <c r="P13" s="94" t="str">
        <f t="shared" ref="P13" si="28">IF(M13=1,Q13,IF(M13=2,R13,IF(M13=3,U13,IF(M13=4,T13,U13))))</f>
        <v>ALTO 1:2</v>
      </c>
      <c r="Q13" s="93" t="str">
        <f t="shared" ref="Q13" si="29">IF(O13=11,"BAJA 1:1",IF(O13=12,"BAJA 2:1",IF(O13=13,"BAJA 3:1",IF(O13=14,"MODERADA 4:1","EXTREMA 5:1"))))</f>
        <v>EXTREMA 5:1</v>
      </c>
      <c r="R13" s="93" t="str">
        <f>IF(O13=21,"ALTO 1:2",IF(O13=22,"BAJA 2:2",IF(O13=23,"MODERADA 3:2",IF($O13=24,"ALTA 4:2","EXTREMA 5:2"))))</f>
        <v>ALTO 1:2</v>
      </c>
      <c r="S13" s="93" t="str">
        <f t="shared" ref="S13" si="30">IF(O13=31,"MODERADA 1:3",IF(O13=32,"MODERADA 2:3",IF(O13=33,"ALTA 3:3",IF(O13=34,"ALTA 4:3","EXTREMA 5:1"))))</f>
        <v>EXTREMA 5:1</v>
      </c>
      <c r="T13" s="93" t="str">
        <f t="shared" ref="T13" si="31">IF(O13=41,"ALTA 1:4",IF(O13=42,"ALTA 2:4",IF(O13=43,"EXTREMA 3:4",IF(O13=44,"EXTREMA 4:4","EXTREMA 5:2"))))</f>
        <v>EXTREMA 5:2</v>
      </c>
      <c r="U13" s="93" t="str">
        <f t="shared" ref="U13" si="32">IF(O13=51,"ALTA 1:5",IF(O13=52,"EXTREMA 2:5",IF(O13=53,"EXTREMA 3:5",IF(O13=54,"EXTREMA 4:5","EXTREMA 5:3"))))</f>
        <v>EXTREMA 5:3</v>
      </c>
      <c r="V13" s="95">
        <v>1</v>
      </c>
      <c r="W13" s="2" t="s">
        <v>154</v>
      </c>
      <c r="X13" s="93" t="s">
        <v>33</v>
      </c>
      <c r="Y13" s="93" t="s">
        <v>34</v>
      </c>
      <c r="Z13" s="96">
        <f t="shared" si="21"/>
        <v>0.4</v>
      </c>
      <c r="AA13" s="93" t="s">
        <v>155</v>
      </c>
      <c r="AB13" s="93" t="s">
        <v>140</v>
      </c>
      <c r="AC13" s="93" t="s">
        <v>156</v>
      </c>
      <c r="AD13" s="97">
        <f t="shared" si="22"/>
        <v>0.12</v>
      </c>
      <c r="AE13" s="95">
        <v>2</v>
      </c>
      <c r="AF13" s="104" t="s">
        <v>157</v>
      </c>
      <c r="AG13" s="93" t="s">
        <v>36</v>
      </c>
      <c r="AH13" s="85" t="s">
        <v>34</v>
      </c>
      <c r="AI13" s="87">
        <f t="shared" si="23"/>
        <v>0.3</v>
      </c>
      <c r="AJ13" s="2" t="s">
        <v>129</v>
      </c>
      <c r="AK13" s="2" t="s">
        <v>130</v>
      </c>
      <c r="AL13" s="93" t="s">
        <v>158</v>
      </c>
      <c r="AM13" s="98">
        <f t="shared" ref="AM13" si="33">IF(AN13&lt;=40%,1,IF(AN13&lt;=80%,2,IF(AN13&lt;=100%,3,IF(AN13=100%,4))))</f>
        <v>1</v>
      </c>
      <c r="AN13" s="97">
        <f t="shared" si="24"/>
        <v>8.3999999999999991E-2</v>
      </c>
      <c r="AO13" s="99">
        <f t="shared" si="25"/>
        <v>2</v>
      </c>
      <c r="AP13" s="100" t="str">
        <f t="shared" si="26"/>
        <v>Mayor</v>
      </c>
      <c r="AQ13" s="101">
        <f t="shared" si="2"/>
        <v>21</v>
      </c>
      <c r="AR13" s="94" t="str">
        <f t="shared" si="3"/>
        <v>ALTA 1:2</v>
      </c>
      <c r="AS13" s="93" t="str">
        <f t="shared" ref="AS13" si="34">IF(AQ13=11,"MODERADO 1:1",IF(AQ13=12,"BAJO 2:1",IF(AQ13=13,"MODERADO 3:1",IF(AQ13=14,"MODERADA 4:1","CATASTROFICO 5:1"))))</f>
        <v>CATASTROFICO 5:1</v>
      </c>
      <c r="AT13" s="93" t="str">
        <f>IF(AQ13=21,"ALTA 1:2",IF(AQ13=22,"ALTO 2:2",IF(AQ13=23,"EXTREMO 3:2",IF($O13=24,"EXTREMO 4:2","EXTREMO 5:2"))))</f>
        <v>ALTA 1:2</v>
      </c>
      <c r="AU13" s="93" t="str">
        <f t="shared" ref="AU13" si="35">IF(AQ13=31,"MODERADA 1:3",IF(AQ13=32,"CATASTROFICO 2:3",IF(AQ13=33,"CATASTROFICO 3:3",IF(AQ13=34,"CATASTROFICO 4:3","EXTREMO 5:3"))))</f>
        <v>EXTREMO 5:3</v>
      </c>
      <c r="AV13" s="93" t="str">
        <f t="shared" si="4"/>
        <v>CATASTROFICO 5:4</v>
      </c>
      <c r="AW13" s="93" t="str">
        <f t="shared" si="5"/>
        <v>EXTREMA 5:5</v>
      </c>
      <c r="AX13" s="89" t="s">
        <v>20</v>
      </c>
      <c r="AY13" s="102" t="s">
        <v>159</v>
      </c>
      <c r="AZ13" s="105" t="s">
        <v>160</v>
      </c>
      <c r="BA13" s="107">
        <v>46023</v>
      </c>
      <c r="BB13" s="107">
        <v>46387</v>
      </c>
      <c r="BC13" s="105" t="s">
        <v>161</v>
      </c>
    </row>
    <row r="14" spans="1:55" s="1" customFormat="1" ht="124.5" customHeight="1" x14ac:dyDescent="0.2">
      <c r="A14" s="88" t="s">
        <v>162</v>
      </c>
      <c r="B14" s="89" t="s">
        <v>163</v>
      </c>
      <c r="C14" s="90" t="s">
        <v>164</v>
      </c>
      <c r="D14" s="91" t="s">
        <v>165</v>
      </c>
      <c r="E14" s="91" t="s">
        <v>166</v>
      </c>
      <c r="F14" s="124" t="s">
        <v>167</v>
      </c>
      <c r="G14" s="91" t="s">
        <v>153</v>
      </c>
      <c r="H14" s="89" t="s">
        <v>19</v>
      </c>
      <c r="I14" s="92">
        <v>1</v>
      </c>
      <c r="J14" s="86">
        <v>1</v>
      </c>
      <c r="K14" s="87" t="str">
        <f t="shared" ref="K14:K16" si="36">IF(J14=1,"20%",IF(J14=2,40%,IF(J14=3,60%,IF(J14=4,80%,100%))))</f>
        <v>20%</v>
      </c>
      <c r="L14" s="85" t="str">
        <f t="shared" ref="L14:L16" si="37">IF(J14=1,"Rara vez",IF(J14=2,"Improbable",IF(J14=3,"Posible",IF(J14=4,"Probable","Casi Seguro"))))</f>
        <v>Rara vez</v>
      </c>
      <c r="M14" s="89">
        <v>2</v>
      </c>
      <c r="N14" s="85" t="str">
        <f t="shared" si="20"/>
        <v>Mayor</v>
      </c>
      <c r="O14" s="93">
        <f t="shared" si="8"/>
        <v>21</v>
      </c>
      <c r="P14" s="94" t="str">
        <f t="shared" ref="P14" si="38">IF(M14=1,Q14,IF(M14=2,R14,IF(M14=3,S14,IF(M14=4,T14,U14))))</f>
        <v>ALTO 1:2</v>
      </c>
      <c r="Q14" s="93" t="str">
        <f t="shared" ref="Q14" si="39">IF(O14=11,"Moderado 1:1",IF(O14=12,"ALTO 2:1",IF(O14=13,"EXTREMO 3:1",IF(O14=14,"MODERADA 4:1","EXTREMA 5:1"))))</f>
        <v>EXTREMA 5:1</v>
      </c>
      <c r="R14" s="93" t="str">
        <f t="shared" ref="R14" si="40">IF(O14=21,"ALTO 1:2",IF(O14=22,"ALTO 2:2",IF(O14=23,"EXTREMO 3:2",IF($O14=24,"ALTO 4:2","EXTREMO 5:2"))))</f>
        <v>ALTO 1:2</v>
      </c>
      <c r="S14" s="93" t="str">
        <f t="shared" ref="S14" si="41">IF(O14=31,"EXTREMO 1:3",IF(O14=32,"EXTREMO 2:3",IF(O14=33,"EXTREMO 3:3",IF(O14=34,"EXTREMO 4:3","EXTREMO 5:1"))))</f>
        <v>EXTREMO 5:1</v>
      </c>
      <c r="T14" s="93" t="str">
        <f t="shared" ref="T14" si="42">IF(O14=41,"ALTA 1:4",IF(O14=42,"MAYOR 2:4",IF(O14=43,"EXTREMO 3:4",IF(O14=44,"EXTREMA 4:4","EXTREMO 5:2"))))</f>
        <v>EXTREMO 5:2</v>
      </c>
      <c r="U14" s="93" t="str">
        <f t="shared" ref="U14" si="43">IF(O14=51,"ALTA 1:5",IF(O14=52,"MAYOR 2:5",IF(O14=53,"EXTREMO 3:5",IF(O14=54,"EXTREMA 4:5","EXTREMO 5:3"))))</f>
        <v>EXTREMO 5:3</v>
      </c>
      <c r="V14" s="95">
        <v>1</v>
      </c>
      <c r="W14" s="93" t="s">
        <v>168</v>
      </c>
      <c r="X14" s="93" t="s">
        <v>33</v>
      </c>
      <c r="Y14" s="93" t="s">
        <v>34</v>
      </c>
      <c r="Z14" s="96">
        <f>IF(AND(X14="Preventivo",Y14="Manual"),40%,IF(AND(X14="Preventivo",Y14="Automatico"),50%,0))</f>
        <v>0.4</v>
      </c>
      <c r="AA14" s="85" t="s">
        <v>169</v>
      </c>
      <c r="AB14" s="93" t="s">
        <v>130</v>
      </c>
      <c r="AC14" s="93" t="s">
        <v>207</v>
      </c>
      <c r="AD14" s="97">
        <f>K14-(K14*Z14)</f>
        <v>0.12</v>
      </c>
      <c r="AE14" s="95">
        <v>2</v>
      </c>
      <c r="AF14" s="2" t="s">
        <v>170</v>
      </c>
      <c r="AG14" s="85" t="s">
        <v>36</v>
      </c>
      <c r="AH14" s="85" t="s">
        <v>34</v>
      </c>
      <c r="AI14" s="87">
        <f>IF(AND(AG14="Detectivo",AH14="Manual"),30%,IF(AND(AG14="Detectivo",AH14="Automatico"),40%,0))</f>
        <v>0.3</v>
      </c>
      <c r="AJ14" s="85" t="s">
        <v>169</v>
      </c>
      <c r="AK14" s="93" t="s">
        <v>130</v>
      </c>
      <c r="AL14" s="93" t="s">
        <v>206</v>
      </c>
      <c r="AM14" s="98">
        <f t="array" ref="AM14">IF(AND(AN14&lt;=20%,AN14&gt;1%),1,IF(AND(AN14&lt;=40%,AN14&gt;20%),2,IF(AND(AN14&lt;=80%,AN14&gt;40%),3,IF(AND(AN14&lt;=100%,AN&gt;80%),4,IF(AN14=100%,5)))))</f>
        <v>1</v>
      </c>
      <c r="AN14" s="97">
        <f>AD14-(AD14*AI14)</f>
        <v>8.3999999999999991E-2</v>
      </c>
      <c r="AO14" s="99">
        <f>+M14</f>
        <v>2</v>
      </c>
      <c r="AP14" s="100" t="str">
        <f t="shared" si="26"/>
        <v>Mayor</v>
      </c>
      <c r="AQ14" s="101">
        <f t="shared" si="2"/>
        <v>21</v>
      </c>
      <c r="AR14" s="94" t="str">
        <f t="shared" si="3"/>
        <v>ALTO 1:2</v>
      </c>
      <c r="AS14" s="93" t="str">
        <f t="shared" ref="AS14" si="44">IF(AQ14=11,"MODERADO 1:1",IF(AQ14=12,"MODERADO 2:1",IF(AQ14=13,"ALTO 3:1",IF(AQ14=14,"ALTO 4:1","ALTO 5:1"))))</f>
        <v>ALTO 5:1</v>
      </c>
      <c r="AT14" s="93" t="str">
        <f t="shared" ref="AT14" si="45">IF(AQ14=21,"ALTO 1:2",IF(AQ14=22,"ALTO 2:2",IF(AQ14=23,"EXTREMO 3:2",IF($O14=24,"EXTREMO 4:2","EXTREMO 5:2"))))</f>
        <v>ALTO 1:2</v>
      </c>
      <c r="AU14" s="93" t="str">
        <f t="shared" ref="AU14" si="46">IF(AQ14=31,"EXTREMO 1:3",IF(AQ14=32,"EXTREMO 2:3",IF(AQ14=33,"EXTREMOO 3:3",IF(AQ14=34,"EXTREMO 4:3","EXTREMO 5:3"))))</f>
        <v>EXTREMO 5:3</v>
      </c>
      <c r="AV14" s="93" t="str">
        <f t="shared" si="4"/>
        <v>CATASTROFICO 5:4</v>
      </c>
      <c r="AW14" s="93" t="str">
        <f t="shared" si="5"/>
        <v>EXTREMA 5:5</v>
      </c>
      <c r="AX14" s="89" t="s">
        <v>20</v>
      </c>
      <c r="AY14" s="102" t="s">
        <v>171</v>
      </c>
      <c r="AZ14" s="89" t="s">
        <v>172</v>
      </c>
      <c r="BA14" s="107">
        <v>46023</v>
      </c>
      <c r="BB14" s="107">
        <v>46387</v>
      </c>
      <c r="BC14" s="89" t="s">
        <v>173</v>
      </c>
    </row>
    <row r="15" spans="1:55" s="1" customFormat="1" ht="168" x14ac:dyDescent="0.2">
      <c r="A15" s="88" t="s">
        <v>180</v>
      </c>
      <c r="B15" s="89" t="s">
        <v>181</v>
      </c>
      <c r="C15" s="90" t="s">
        <v>182</v>
      </c>
      <c r="D15" s="91" t="s">
        <v>183</v>
      </c>
      <c r="E15" s="91" t="s">
        <v>184</v>
      </c>
      <c r="F15" s="91" t="s">
        <v>185</v>
      </c>
      <c r="G15" s="91" t="s">
        <v>60</v>
      </c>
      <c r="H15" s="89" t="s">
        <v>19</v>
      </c>
      <c r="I15" s="92">
        <v>12</v>
      </c>
      <c r="J15" s="86">
        <v>1</v>
      </c>
      <c r="K15" s="87" t="str">
        <f t="shared" si="36"/>
        <v>20%</v>
      </c>
      <c r="L15" s="85" t="str">
        <f t="shared" si="37"/>
        <v>Rara vez</v>
      </c>
      <c r="M15" s="89">
        <v>2</v>
      </c>
      <c r="N15" s="85" t="str">
        <f t="shared" ref="N15" si="47">IF(M15=1,"Moderado",IF(M15=2,"Mayor",IF(M15=3,"Catastrofico",)))</f>
        <v>Mayor</v>
      </c>
      <c r="O15" s="93">
        <f t="shared" ref="O15" si="48">IF(M15=2,J15+20,IF(M15=3,J15+30,IF(M15=4,J15+40,IF(M15=5,J15+50,J15+10))))</f>
        <v>21</v>
      </c>
      <c r="P15" s="94" t="str">
        <f t="shared" ref="P15" si="49">IF(M15=1,Q15,IF(M15=2,R15,IF(M15=3,S15,IF(M15=4,T15,U15))))</f>
        <v>ALTO 1:2</v>
      </c>
      <c r="Q15" s="93" t="str">
        <f t="shared" ref="Q15" si="50">IF(O15=11,"Moderado 1:1",IF(O15=12,"ALTO 2:1",IF(O15=13,"EXTREMO 3:1",IF(O15=14,"MODERADA 4:1","EXTREMA 5:1"))))</f>
        <v>EXTREMA 5:1</v>
      </c>
      <c r="R15" s="93" t="str">
        <f t="shared" ref="R15" si="51">IF(O15=21,"ALTO 1:2",IF(O15=22,"ALTO 2:2",IF(O15=23,"EXTREMO 3:2",IF($O15=24,"ALTO 4:2","EXTREMO 5:2"))))</f>
        <v>ALTO 1:2</v>
      </c>
      <c r="S15" s="93" t="str">
        <f t="shared" ref="S15" si="52">IF(O15=31,"EXTREMO 1:3",IF(O15=32,"EXTREMO 2:3",IF(O15=33,"EXTREMO 3:3",IF(O15=34,"EXTREMO 4:3","EXTREMO 5:1"))))</f>
        <v>EXTREMO 5:1</v>
      </c>
      <c r="T15" s="93" t="str">
        <f t="shared" ref="T15" si="53">IF(O15=41,"ALTA 1:4",IF(O15=42,"MAYOR 2:4",IF(O15=43,"EXTREMO 3:4",IF(O15=44,"EXTREMA 4:4","EXTREMO 5:2"))))</f>
        <v>EXTREMO 5:2</v>
      </c>
      <c r="U15" s="93" t="str">
        <f t="shared" ref="U15" si="54">IF(O15=51,"ALTA 1:5",IF(O15=52,"MAYOR 2:5",IF(O15=53,"EXTREMO 3:5",IF(O15=54,"EXTREMA 4:5","EXTREMO 5:3"))))</f>
        <v>EXTREMO 5:3</v>
      </c>
      <c r="V15" s="95">
        <v>1</v>
      </c>
      <c r="W15" s="2" t="s">
        <v>186</v>
      </c>
      <c r="X15" s="93" t="s">
        <v>33</v>
      </c>
      <c r="Y15" s="93" t="s">
        <v>34</v>
      </c>
      <c r="Z15" s="96">
        <f t="shared" ref="Z15:Z16" si="55">IF(AND(X15="Preventivo",Y15="Manual"),40%,IF(AND(X15="Preventivo",Y15="Automatico"),50%,0))</f>
        <v>0.4</v>
      </c>
      <c r="AA15" s="93" t="s">
        <v>129</v>
      </c>
      <c r="AB15" s="93" t="s">
        <v>130</v>
      </c>
      <c r="AC15" s="93" t="s">
        <v>187</v>
      </c>
      <c r="AD15" s="97">
        <f t="shared" ref="AD15:AD16" si="56">K15-(K15*Z15)</f>
        <v>0.12</v>
      </c>
      <c r="AE15" s="95">
        <v>2</v>
      </c>
      <c r="AF15" s="2" t="s">
        <v>188</v>
      </c>
      <c r="AG15" s="85" t="s">
        <v>36</v>
      </c>
      <c r="AH15" s="85" t="s">
        <v>34</v>
      </c>
      <c r="AI15" s="87">
        <f t="shared" ref="AI15:AI16" si="57">IF(AND(AG15="Detectivo",AH15="Manual"),30%,IF(AND(AG15="Detectivo",AH15="Automatico"),40%,0))</f>
        <v>0.3</v>
      </c>
      <c r="AJ15" s="2" t="s">
        <v>129</v>
      </c>
      <c r="AK15" s="2" t="s">
        <v>130</v>
      </c>
      <c r="AL15" s="2" t="s">
        <v>189</v>
      </c>
      <c r="AM15" s="98">
        <f t="shared" ref="AM15:AM16" si="58">IF(AN15&lt;=40%,1,IF(AN15&lt;=80%,2,IF(AN15&lt;=100%,3,IF(AN15=100%,4))))</f>
        <v>1</v>
      </c>
      <c r="AN15" s="97">
        <f t="shared" ref="AN15:AN16" si="59">AD15-(AD15*AI15)</f>
        <v>8.3999999999999991E-2</v>
      </c>
      <c r="AO15" s="99">
        <f t="shared" ref="AO15:AO16" si="60">+M15</f>
        <v>2</v>
      </c>
      <c r="AP15" s="100" t="str">
        <f t="shared" ref="AP15" si="61">IF(AO15=1,"Moderado",IF(AO15=2,"Mayor",IF(AO15=3,"Catastrofico",)))</f>
        <v>Mayor</v>
      </c>
      <c r="AQ15" s="101">
        <f t="shared" ref="AQ15" si="62">IF(AO15=2,AM15+20,IF(AO15=3,AM15+30,IF(AO15=4,AM15+40,IF(AO15=5,AM15+50,AM15+10))))</f>
        <v>21</v>
      </c>
      <c r="AR15" s="94" t="str">
        <f t="shared" ref="AR15" si="63">IF(AO15=1,AS15,IF(AO15=2,AT15,IF(AO15=3,AU15,IF(AO15=4,AV15,AW15))))</f>
        <v>ALTO 1:2</v>
      </c>
      <c r="AS15" s="93" t="str">
        <f t="shared" ref="AS15" si="64">IF(AQ15=11,"MODERADO 1:1",IF(AQ15=12,"MODERADO 2:1",IF(AQ15=13,"ALTO 3:1",IF(AQ15=14,"ALTO 4:1","ALTO 5:1"))))</f>
        <v>ALTO 5:1</v>
      </c>
      <c r="AT15" s="93" t="str">
        <f t="shared" ref="AT15" si="65">IF(AQ15=21,"ALTO 1:2",IF(AQ15=22,"ALTO 2:2",IF(AQ15=23,"EXTREMO 3:2",IF($O15=24,"EXTREMO 4:2","EXTREMO 5:2"))))</f>
        <v>ALTO 1:2</v>
      </c>
      <c r="AU15" s="93" t="str">
        <f t="shared" ref="AU15" si="66">IF(AQ15=31,"EXTREMO 1:3",IF(AQ15=32,"EXTREMO 2:3",IF(AQ15=33,"EXTREMOO 3:3",IF(AQ15=34,"EXTREMO 4:3","EXTREMO 5:3"))))</f>
        <v>EXTREMO 5:3</v>
      </c>
      <c r="AV15" s="93" t="str">
        <f t="shared" ref="AV15" si="67">IF(AQ15=41,"ALTA 1:4",IF(AQ15=42,"CATASTROFICO 2:4",IF(AQ15=43,"CATASTROFICO 3:4",IF(AQ15=44,"CATASTROFICO 4:4","CATASTROFICO 5:4"))))</f>
        <v>CATASTROFICO 5:4</v>
      </c>
      <c r="AW15" s="93" t="str">
        <f t="shared" ref="AW15" si="68">IF(AQ15=51,"ALTA 1:5",IF(AQ15=52,"EXTREMA 2:5",IF(AQ15=53,"EXTREMA 3:5",IF(AQ15=54,"EXTREMA 4:5","EXTREMA 5:5"))))</f>
        <v>EXTREMA 5:5</v>
      </c>
      <c r="AX15" s="89" t="s">
        <v>20</v>
      </c>
      <c r="AY15" s="102" t="s">
        <v>190</v>
      </c>
      <c r="AZ15" s="89" t="s">
        <v>191</v>
      </c>
      <c r="BA15" s="107">
        <v>46023</v>
      </c>
      <c r="BB15" s="107">
        <v>46387</v>
      </c>
      <c r="BC15" s="89" t="s">
        <v>192</v>
      </c>
    </row>
    <row r="16" spans="1:55" s="1" customFormat="1" ht="110.25" customHeight="1" x14ac:dyDescent="0.2">
      <c r="A16" s="88" t="s">
        <v>193</v>
      </c>
      <c r="B16" s="89" t="s">
        <v>194</v>
      </c>
      <c r="C16" s="90" t="s">
        <v>195</v>
      </c>
      <c r="D16" s="91" t="s">
        <v>196</v>
      </c>
      <c r="E16" s="110" t="s">
        <v>197</v>
      </c>
      <c r="F16" s="91" t="s">
        <v>198</v>
      </c>
      <c r="G16" s="91" t="s">
        <v>60</v>
      </c>
      <c r="H16" s="89" t="s">
        <v>19</v>
      </c>
      <c r="I16" s="89">
        <v>12</v>
      </c>
      <c r="J16" s="86">
        <v>3</v>
      </c>
      <c r="K16" s="87">
        <f t="shared" si="36"/>
        <v>0.6</v>
      </c>
      <c r="L16" s="85" t="str">
        <f t="shared" si="37"/>
        <v>Posible</v>
      </c>
      <c r="M16" s="89">
        <v>2</v>
      </c>
      <c r="N16" s="85" t="str">
        <f t="shared" ref="N16" si="69">IF(M16=1,"Moderado",IF(M16=2,"Mayor",IF(M16=3,"Catastrofico",)))</f>
        <v>Mayor</v>
      </c>
      <c r="O16" s="93">
        <f t="shared" ref="O16" si="70">IF(M16=2,J16+20,IF(M16=3,J16+30,IF(M16=4,J16+40,IF(M16=5,J16+50,J16+10))))</f>
        <v>23</v>
      </c>
      <c r="P16" s="94" t="str">
        <f t="shared" ref="P16" si="71">IF(M16=1,Q16,IF(M16=2,R16,IF(M16=3,S16,IF(M16=4,T16,U16))))</f>
        <v>EXTREMO 3:2</v>
      </c>
      <c r="Q16" s="93" t="str">
        <f t="shared" ref="Q16" si="72">IF(O16=11,"Moderado 1:1",IF(O16=12,"ALTO 2:1",IF(O16=13,"EXTREMO 3:1",IF(O16=14,"MODERADA 4:1","EXTREMA 5:1"))))</f>
        <v>EXTREMA 5:1</v>
      </c>
      <c r="R16" s="93" t="str">
        <f t="shared" ref="R16" si="73">IF(O16=21,"ALTO 1:2",IF(O16=22,"ALTO 2:2",IF(O16=23,"EXTREMO 3:2",IF($O16=24,"ALTO 4:2","EXTREMO 5:2"))))</f>
        <v>EXTREMO 3:2</v>
      </c>
      <c r="S16" s="93" t="str">
        <f t="shared" ref="S16" si="74">IF(O16=31,"EXTREMO 1:3",IF(O16=32,"EXTREMO 2:3",IF(O16=33,"EXTREMO 3:3",IF(O16=34,"EXTREMO 4:3","EXTREMO 5:1"))))</f>
        <v>EXTREMO 5:1</v>
      </c>
      <c r="T16" s="93" t="str">
        <f t="shared" ref="T16" si="75">IF(O16=41,"ALTA 1:4",IF(O16=42,"MAYOR 2:4",IF(O16=43,"EXTREMO 3:4",IF(O16=44,"EXTREMA 4:4","EXTREMO 5:2"))))</f>
        <v>EXTREMO 5:2</v>
      </c>
      <c r="U16" s="93" t="str">
        <f t="shared" ref="U16" si="76">IF(O16=51,"ALTA 1:5",IF(O16=52,"MAYOR 2:5",IF(O16=53,"EXTREMO 3:5",IF(O16=54,"EXTREMA 4:5","EXTREMO 5:3"))))</f>
        <v>EXTREMO 5:3</v>
      </c>
      <c r="V16" s="95">
        <v>1</v>
      </c>
      <c r="W16" s="2" t="s">
        <v>199</v>
      </c>
      <c r="X16" s="93" t="s">
        <v>33</v>
      </c>
      <c r="Y16" s="93" t="s">
        <v>34</v>
      </c>
      <c r="Z16" s="96">
        <f t="shared" si="55"/>
        <v>0.4</v>
      </c>
      <c r="AA16" s="93" t="s">
        <v>129</v>
      </c>
      <c r="AB16" s="93" t="s">
        <v>200</v>
      </c>
      <c r="AC16" s="93" t="s">
        <v>129</v>
      </c>
      <c r="AD16" s="97">
        <f t="shared" si="56"/>
        <v>0.36</v>
      </c>
      <c r="AE16" s="95">
        <v>2</v>
      </c>
      <c r="AF16" s="2" t="s">
        <v>201</v>
      </c>
      <c r="AG16" s="85" t="s">
        <v>36</v>
      </c>
      <c r="AH16" s="85" t="s">
        <v>34</v>
      </c>
      <c r="AI16" s="87">
        <f t="shared" si="57"/>
        <v>0.3</v>
      </c>
      <c r="AJ16" s="2" t="s">
        <v>129</v>
      </c>
      <c r="AK16" s="2" t="s">
        <v>202</v>
      </c>
      <c r="AL16" s="2" t="s">
        <v>129</v>
      </c>
      <c r="AM16" s="98">
        <f t="shared" si="58"/>
        <v>1</v>
      </c>
      <c r="AN16" s="97">
        <f t="shared" si="59"/>
        <v>0.252</v>
      </c>
      <c r="AO16" s="99">
        <f t="shared" si="60"/>
        <v>2</v>
      </c>
      <c r="AP16" s="100" t="str">
        <f t="shared" ref="AP16" si="77">IF(AO16=1,"Moderado",IF(AO16=2,"Mayor",IF(AO16=3,"Catastrofico",)))</f>
        <v>Mayor</v>
      </c>
      <c r="AQ16" s="101">
        <f t="shared" ref="AQ16" si="78">IF(AO16=2,AM16+20,IF(AO16=3,AM16+30,IF(AO16=4,AM16+40,IF(AO16=5,AM16+50,AM16+10))))</f>
        <v>21</v>
      </c>
      <c r="AR16" s="94" t="str">
        <f t="shared" ref="AR16" si="79">IF(AO16=1,AS16,IF(AO16=2,AT16,IF(AO16=3,AU16,IF(AO16=4,AV16,AW16))))</f>
        <v>ALTO 1:2</v>
      </c>
      <c r="AS16" s="93" t="str">
        <f t="shared" ref="AS16" si="80">IF(AQ16=11,"MODERADO 1:1",IF(AQ16=12,"MODERADO 2:1",IF(AQ16=13,"ALTO 3:1",IF(AQ16=14,"ALTO 4:1","ALTO 5:1"))))</f>
        <v>ALTO 5:1</v>
      </c>
      <c r="AT16" s="93" t="str">
        <f t="shared" ref="AT16" si="81">IF(AQ16=21,"ALTO 1:2",IF(AQ16=22,"ALTO 2:2",IF(AQ16=23,"EXTREMO 3:2",IF($O16=24,"EXTREMO 4:2","EXTREMO 5:2"))))</f>
        <v>ALTO 1:2</v>
      </c>
      <c r="AU16" s="93" t="str">
        <f t="shared" ref="AU16" si="82">IF(AQ16=31,"EXTREMO 1:3",IF(AQ16=32,"EXTREMO 2:3",IF(AQ16=33,"EXTREMOO 3:3",IF(AQ16=34,"EXTREMO 4:3","EXTREMO 5:3"))))</f>
        <v>EXTREMO 5:3</v>
      </c>
      <c r="AV16" s="93" t="str">
        <f t="shared" ref="AV16" si="83">IF(AQ16=41,"ALTA 1:4",IF(AQ16=42,"CATASTROFICO 2:4",IF(AQ16=43,"CATASTROFICO 3:4",IF(AQ16=44,"CATASTROFICO 4:4","CATASTROFICO 5:4"))))</f>
        <v>CATASTROFICO 5:4</v>
      </c>
      <c r="AW16" s="93" t="str">
        <f t="shared" ref="AW16" si="84">IF(AQ16=51,"ALTA 1:5",IF(AQ16=52,"EXTREMA 2:5",IF(AQ16=53,"EXTREMA 3:5",IF(AQ16=54,"EXTREMA 4:5","EXTREMA 5:5"))))</f>
        <v>EXTREMA 5:5</v>
      </c>
      <c r="AX16" s="89" t="s">
        <v>20</v>
      </c>
      <c r="AY16" s="102" t="s">
        <v>203</v>
      </c>
      <c r="AZ16" s="89" t="s">
        <v>204</v>
      </c>
      <c r="BA16" s="107">
        <v>46023</v>
      </c>
      <c r="BB16" s="107">
        <v>46387</v>
      </c>
      <c r="BC16" s="89" t="s">
        <v>205</v>
      </c>
    </row>
  </sheetData>
  <autoFilter ref="A8:BC16" xr:uid="{5E57D72E-3C27-4BDD-9884-60EE78A57DB6}">
    <filterColumn colId="21" showButton="0"/>
    <filterColumn colId="22" showButton="0"/>
    <filterColumn colId="23" showButton="0"/>
    <filterColumn colId="24" showButton="0"/>
    <filterColumn colId="25" showButton="0"/>
    <filterColumn colId="26" showButton="0"/>
    <filterColumn colId="27" showButton="0"/>
    <filterColumn colId="30" showButton="0"/>
    <filterColumn colId="31" showButton="0"/>
    <filterColumn colId="32" showButton="0"/>
    <filterColumn colId="33" showButton="0"/>
    <filterColumn colId="34" showButton="0"/>
    <filterColumn colId="35" showButton="0"/>
    <filterColumn colId="36" showButton="0"/>
    <filterColumn colId="38" showButton="0"/>
    <filterColumn colId="40" showButton="0"/>
    <filterColumn colId="50" showButton="0"/>
    <filterColumn colId="51" showButton="0"/>
    <filterColumn colId="52" showButton="0"/>
    <filterColumn colId="53" showButton="0"/>
  </autoFilter>
  <mergeCells count="17">
    <mergeCell ref="AY8:BC8"/>
    <mergeCell ref="A1:B4"/>
    <mergeCell ref="C1:D4"/>
    <mergeCell ref="Q8:Q9"/>
    <mergeCell ref="R8:R9"/>
    <mergeCell ref="S8:S9"/>
    <mergeCell ref="AR8:AR9"/>
    <mergeCell ref="AX8:AX9"/>
    <mergeCell ref="J9:L9"/>
    <mergeCell ref="AO8:AP9"/>
    <mergeCell ref="AM8:AN9"/>
    <mergeCell ref="T8:T9"/>
    <mergeCell ref="AE8:AL8"/>
    <mergeCell ref="V8:AC8"/>
    <mergeCell ref="U8:U9"/>
    <mergeCell ref="AD8:AD9"/>
    <mergeCell ref="M9:N9"/>
  </mergeCells>
  <conditionalFormatting sqref="B11">
    <cfRule type="expression" dxfId="51" priority="195">
      <formula>ISERROR(B11)</formula>
    </cfRule>
  </conditionalFormatting>
  <conditionalFormatting sqref="E13">
    <cfRule type="cellIs" dxfId="50" priority="53" operator="equal">
      <formula>0</formula>
    </cfRule>
  </conditionalFormatting>
  <conditionalFormatting sqref="E16">
    <cfRule type="cellIs" dxfId="49" priority="36" operator="equal">
      <formula>0</formula>
    </cfRule>
  </conditionalFormatting>
  <conditionalFormatting sqref="F14">
    <cfRule type="cellIs" dxfId="48" priority="47" operator="equal">
      <formula>0</formula>
    </cfRule>
  </conditionalFormatting>
  <conditionalFormatting sqref="K10:L16">
    <cfRule type="cellIs" dxfId="47" priority="1" operator="equal">
      <formula>"RARA VEZ"</formula>
    </cfRule>
    <cfRule type="cellIs" dxfId="46" priority="2" operator="equal">
      <formula>"IMPROBABLE"</formula>
    </cfRule>
    <cfRule type="cellIs" dxfId="45" priority="3" operator="equal">
      <formula>"POSIBLE"</formula>
    </cfRule>
    <cfRule type="cellIs" dxfId="44" priority="4" operator="equal">
      <formula>"PROBABLE"</formula>
    </cfRule>
    <cfRule type="cellIs" dxfId="43" priority="5" operator="equal">
      <formula>"CASI SEGURO"</formula>
    </cfRule>
  </conditionalFormatting>
  <conditionalFormatting sqref="N10:N16">
    <cfRule type="cellIs" dxfId="42" priority="60" operator="equal">
      <formula>"RARA VEZ"</formula>
    </cfRule>
    <cfRule type="cellIs" dxfId="41" priority="61" operator="equal">
      <formula>"IMPROBABLE"</formula>
    </cfRule>
    <cfRule type="cellIs" dxfId="40" priority="62" operator="equal">
      <formula>"POSIBLE"</formula>
    </cfRule>
    <cfRule type="cellIs" dxfId="39" priority="63" operator="equal">
      <formula>"PROBABLE"</formula>
    </cfRule>
    <cfRule type="cellIs" dxfId="38" priority="64" operator="equal">
      <formula>"CASI SEGURO"</formula>
    </cfRule>
  </conditionalFormatting>
  <conditionalFormatting sqref="O10:O16">
    <cfRule type="cellIs" dxfId="37" priority="90" operator="equal">
      <formula>"INSIGNIFICANTE"</formula>
    </cfRule>
    <cfRule type="cellIs" dxfId="36" priority="91" operator="equal">
      <formula>"MENOR"</formula>
    </cfRule>
    <cfRule type="cellIs" dxfId="35" priority="92" operator="equal">
      <formula>"MODERADO"</formula>
    </cfRule>
    <cfRule type="cellIs" dxfId="34" priority="93" operator="equal">
      <formula>"MAYOR"</formula>
    </cfRule>
    <cfRule type="cellIs" dxfId="33" priority="94" operator="equal">
      <formula>"CATASTRÓFICO"</formula>
    </cfRule>
    <cfRule type="containsText" dxfId="32" priority="95" stopIfTrue="1" operator="containsText" text="ALTO">
      <formula>NOT(ISERROR(SEARCH("ALTO",O10)))</formula>
    </cfRule>
    <cfRule type="containsText" dxfId="31" priority="96" stopIfTrue="1" operator="containsText" text="ALTO">
      <formula>NOT(ISERROR(SEARCH("ALTO",O10)))</formula>
    </cfRule>
    <cfRule type="containsText" dxfId="30" priority="97" stopIfTrue="1" operator="containsText" text="MEDIO">
      <formula>NOT(ISERROR(SEARCH("MEDIO",O10)))</formula>
    </cfRule>
    <cfRule type="containsText" dxfId="29" priority="98" stopIfTrue="1" operator="containsText" text="MEDIO">
      <formula>NOT(ISERROR(SEARCH("MEDIO",O10)))</formula>
    </cfRule>
    <cfRule type="containsText" dxfId="28" priority="99" stopIfTrue="1" operator="containsText" text="BAJO">
      <formula>NOT(ISERROR(SEARCH("BAJO",O10)))</formula>
    </cfRule>
    <cfRule type="containsText" dxfId="27" priority="100" stopIfTrue="1" operator="containsText" text="ALTA">
      <formula>NOT(ISERROR(SEARCH("ALTA",O10)))</formula>
    </cfRule>
    <cfRule type="containsText" dxfId="26" priority="101" stopIfTrue="1" operator="containsText" text="MEDIA">
      <formula>NOT(ISERROR(SEARCH("MEDIA",O10)))</formula>
    </cfRule>
    <cfRule type="containsText" dxfId="25" priority="102" stopIfTrue="1" operator="containsText" text="BAJA">
      <formula>NOT(ISERROR(SEARCH("BAJA",O10)))</formula>
    </cfRule>
  </conditionalFormatting>
  <conditionalFormatting sqref="P10:P16 AR10:AR16">
    <cfRule type="cellIs" dxfId="24" priority="65" operator="equal">
      <formula>"EXTREMA 5:5"</formula>
    </cfRule>
    <cfRule type="cellIs" dxfId="23" priority="66" operator="equal">
      <formula>"EXTREMA 4:5"</formula>
    </cfRule>
    <cfRule type="cellIs" dxfId="22" priority="67" operator="equal">
      <formula>"EXTREMA 3:5"</formula>
    </cfRule>
    <cfRule type="cellIs" dxfId="21" priority="68" operator="equal">
      <formula>"EXTREMA 2:5"</formula>
    </cfRule>
    <cfRule type="cellIs" dxfId="20" priority="69" operator="equal">
      <formula>"EXTREMA 5:4"</formula>
    </cfRule>
    <cfRule type="cellIs" dxfId="19" priority="70" operator="equal">
      <formula>"EXTREMA 4:4"</formula>
    </cfRule>
    <cfRule type="cellIs" dxfId="18" priority="71" operator="equal">
      <formula>"EXTREMA 3:4"</formula>
    </cfRule>
    <cfRule type="cellIs" dxfId="17" priority="72" operator="equal">
      <formula>"EXTREMA 5:3"</formula>
    </cfRule>
    <cfRule type="cellIs" dxfId="16" priority="73" operator="equal">
      <formula>"ALTA 1:5"</formula>
    </cfRule>
    <cfRule type="cellIs" dxfId="15" priority="74" operator="equal">
      <formula>"ALTA 2:4"</formula>
    </cfRule>
    <cfRule type="cellIs" dxfId="14" priority="75" operator="equal">
      <formula>"ALTA 1:4"</formula>
    </cfRule>
    <cfRule type="cellIs" dxfId="13" priority="76" operator="equal">
      <formula>"ALTA 4:3"</formula>
    </cfRule>
    <cfRule type="cellIs" dxfId="12" priority="77" operator="equal">
      <formula>"ALTA 3:3"</formula>
    </cfRule>
    <cfRule type="cellIs" dxfId="11" priority="78" operator="equal">
      <formula>"ALTA 5:2"</formula>
    </cfRule>
    <cfRule type="cellIs" dxfId="10" priority="79" operator="equal">
      <formula>"ALTA 4:2"</formula>
    </cfRule>
    <cfRule type="cellIs" dxfId="9" priority="80" operator="equal">
      <formula>"ALTA 5:1"</formula>
    </cfRule>
    <cfRule type="cellIs" dxfId="8" priority="81" operator="equal">
      <formula>"MODERADA 2:3"</formula>
    </cfRule>
    <cfRule type="cellIs" dxfId="7" priority="82" operator="equal">
      <formula>"MODERADA 1:3"</formula>
    </cfRule>
    <cfRule type="cellIs" dxfId="6" priority="83" operator="equal">
      <formula>"MODERADA 3:2"</formula>
    </cfRule>
    <cfRule type="cellIs" dxfId="5" priority="84" operator="equal">
      <formula>"MODERADA 4:1"</formula>
    </cfRule>
    <cfRule type="cellIs" dxfId="4" priority="85" operator="equal">
      <formula>"BAJA 2:2"</formula>
    </cfRule>
    <cfRule type="cellIs" dxfId="3" priority="86" operator="equal">
      <formula>"BAJA 1:2"</formula>
    </cfRule>
    <cfRule type="cellIs" dxfId="2" priority="87" operator="equal">
      <formula>"BAJA 3:1"</formula>
    </cfRule>
    <cfRule type="cellIs" dxfId="1" priority="88" operator="equal">
      <formula>"BAJA 2:1"</formula>
    </cfRule>
    <cfRule type="cellIs" dxfId="0" priority="89" operator="equal">
      <formula>"BAJA 1:1"</formula>
    </cfRule>
  </conditionalFormatting>
  <dataValidations count="1">
    <dataValidation errorStyle="warning" allowBlank="1" errorTitle="ERROR DE CALIFICACION" error="Califique:_x000a_1 para BAJO_x000a_2 para MEDIO_x000a_3 para ALTO" promptTitle="CALIFIQUE" prompt="1 - BAJO_x000a_2 - MEDIO_x000a_3 - ALTO" sqref="N10:O16 K10:L16" xr:uid="{2EE92650-E2BD-41D3-BB4E-039D62E5D774}"/>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55C280B-9D0E-44DD-90CF-2E29B6D29F93}">
          <x14:formula1>
            <xm:f>Parametros!$U$23:$U$25</xm:f>
          </x14:formula1>
          <xm:sqref>M10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3341F-20D0-4486-A106-46B02BF1015F}">
  <dimension ref="B1:V25"/>
  <sheetViews>
    <sheetView workbookViewId="0">
      <selection activeCell="P8" sqref="P8"/>
    </sheetView>
  </sheetViews>
  <sheetFormatPr baseColWidth="10" defaultRowHeight="15" x14ac:dyDescent="0.2"/>
  <cols>
    <col min="1" max="1" width="6.5" customWidth="1"/>
    <col min="2" max="2" width="10.5" customWidth="1"/>
    <col min="3" max="3" width="5.83203125" customWidth="1"/>
    <col min="4" max="4" width="13.33203125" customWidth="1"/>
    <col min="5" max="5" width="6.5" customWidth="1"/>
    <col min="6" max="6" width="2.83203125" customWidth="1"/>
    <col min="7" max="7" width="21.1640625" customWidth="1"/>
    <col min="13" max="13" width="7.33203125" customWidth="1"/>
    <col min="14" max="14" width="12.83203125" customWidth="1"/>
    <col min="15" max="15" width="41" customWidth="1"/>
    <col min="16" max="16" width="18.6640625" customWidth="1"/>
    <col min="17" max="17" width="4.5" customWidth="1"/>
    <col min="18" max="18" width="2.83203125" customWidth="1"/>
    <col min="19" max="19" width="3.1640625" bestFit="1" customWidth="1"/>
    <col min="20" max="20" width="66.6640625" customWidth="1"/>
    <col min="21" max="22" width="7.33203125" customWidth="1"/>
  </cols>
  <sheetData>
    <row r="1" spans="2:22" x14ac:dyDescent="0.2">
      <c r="S1" s="23"/>
      <c r="T1" s="24" t="s">
        <v>63</v>
      </c>
      <c r="U1" s="122" t="s">
        <v>64</v>
      </c>
      <c r="V1" s="123"/>
    </row>
    <row r="2" spans="2:22" ht="16" thickBot="1" x14ac:dyDescent="0.25">
      <c r="B2" s="10" t="s">
        <v>35</v>
      </c>
      <c r="G2" s="19"/>
      <c r="M2" s="10" t="s">
        <v>39</v>
      </c>
      <c r="S2" s="45" t="s">
        <v>65</v>
      </c>
      <c r="T2" s="25" t="s">
        <v>66</v>
      </c>
      <c r="U2" s="60" t="s">
        <v>67</v>
      </c>
      <c r="V2" s="61" t="s">
        <v>68</v>
      </c>
    </row>
    <row r="3" spans="2:22" ht="33" customHeight="1" thickBot="1" x14ac:dyDescent="0.25">
      <c r="B3" s="9" t="s">
        <v>23</v>
      </c>
      <c r="C3" s="9" t="s">
        <v>37</v>
      </c>
      <c r="D3" s="9" t="s">
        <v>24</v>
      </c>
      <c r="E3" s="9" t="s">
        <v>37</v>
      </c>
      <c r="F3" s="11"/>
      <c r="G3" s="21"/>
      <c r="M3" s="26" t="s">
        <v>69</v>
      </c>
      <c r="N3" s="27" t="s">
        <v>70</v>
      </c>
      <c r="O3" s="27" t="s">
        <v>71</v>
      </c>
      <c r="P3" s="28" t="s">
        <v>72</v>
      </c>
      <c r="S3" s="46">
        <v>1</v>
      </c>
      <c r="T3" s="52" t="s">
        <v>73</v>
      </c>
      <c r="U3" s="49">
        <v>1</v>
      </c>
      <c r="V3" s="55"/>
    </row>
    <row r="4" spans="2:22" ht="32" x14ac:dyDescent="0.2">
      <c r="B4" t="s">
        <v>33</v>
      </c>
      <c r="C4" s="8">
        <v>0.25</v>
      </c>
      <c r="D4" t="s">
        <v>38</v>
      </c>
      <c r="E4" s="8">
        <v>0.25</v>
      </c>
      <c r="F4" s="8"/>
      <c r="G4" s="21"/>
      <c r="M4" s="29">
        <v>5</v>
      </c>
      <c r="N4" s="30" t="s">
        <v>74</v>
      </c>
      <c r="O4" s="30" t="s">
        <v>75</v>
      </c>
      <c r="P4" s="31" t="s">
        <v>76</v>
      </c>
      <c r="S4" s="47">
        <v>2</v>
      </c>
      <c r="T4" s="53" t="s">
        <v>114</v>
      </c>
      <c r="U4" s="50"/>
      <c r="V4" s="56">
        <v>0</v>
      </c>
    </row>
    <row r="5" spans="2:22" ht="32" x14ac:dyDescent="0.2">
      <c r="B5" t="s">
        <v>36</v>
      </c>
      <c r="C5" s="8">
        <v>0.15</v>
      </c>
      <c r="D5" t="s">
        <v>34</v>
      </c>
      <c r="E5" s="8">
        <v>0.15</v>
      </c>
      <c r="F5" s="8"/>
      <c r="G5" s="21"/>
      <c r="M5" s="32">
        <v>4</v>
      </c>
      <c r="N5" s="33" t="s">
        <v>77</v>
      </c>
      <c r="O5" s="33" t="s">
        <v>78</v>
      </c>
      <c r="P5" s="34" t="s">
        <v>79</v>
      </c>
      <c r="S5" s="47">
        <v>3</v>
      </c>
      <c r="T5" s="53" t="s">
        <v>80</v>
      </c>
      <c r="U5" s="50"/>
      <c r="V5" s="56">
        <v>0</v>
      </c>
    </row>
    <row r="6" spans="2:22" ht="32" x14ac:dyDescent="0.2">
      <c r="G6" s="21"/>
      <c r="M6" s="32">
        <v>3</v>
      </c>
      <c r="N6" s="33" t="s">
        <v>81</v>
      </c>
      <c r="O6" s="33" t="s">
        <v>82</v>
      </c>
      <c r="P6" s="34" t="s">
        <v>83</v>
      </c>
      <c r="S6" s="47">
        <v>4</v>
      </c>
      <c r="T6" s="53" t="s">
        <v>115</v>
      </c>
      <c r="U6" s="50"/>
      <c r="V6" s="56">
        <v>0</v>
      </c>
    </row>
    <row r="7" spans="2:22" ht="32" x14ac:dyDescent="0.2">
      <c r="G7" s="21"/>
      <c r="M7" s="32">
        <v>2</v>
      </c>
      <c r="N7" s="33" t="s">
        <v>84</v>
      </c>
      <c r="O7" s="33" t="s">
        <v>85</v>
      </c>
      <c r="P7" s="34" t="s">
        <v>86</v>
      </c>
      <c r="S7" s="47">
        <v>5</v>
      </c>
      <c r="T7" s="53" t="s">
        <v>87</v>
      </c>
      <c r="U7" s="50">
        <v>1</v>
      </c>
      <c r="V7" s="56"/>
    </row>
    <row r="8" spans="2:22" ht="33" thickBot="1" x14ac:dyDescent="0.25">
      <c r="M8" s="35">
        <v>1</v>
      </c>
      <c r="N8" s="36" t="s">
        <v>88</v>
      </c>
      <c r="O8" s="36" t="s">
        <v>89</v>
      </c>
      <c r="P8" s="37" t="s">
        <v>90</v>
      </c>
      <c r="S8" s="47">
        <v>6</v>
      </c>
      <c r="T8" s="53" t="s">
        <v>91</v>
      </c>
      <c r="U8" s="50">
        <v>1</v>
      </c>
      <c r="V8" s="56"/>
    </row>
    <row r="9" spans="2:22" x14ac:dyDescent="0.2">
      <c r="S9" s="47">
        <v>7</v>
      </c>
      <c r="T9" s="53" t="s">
        <v>116</v>
      </c>
      <c r="U9" s="50">
        <v>1</v>
      </c>
      <c r="V9" s="56"/>
    </row>
    <row r="10" spans="2:22" ht="32" x14ac:dyDescent="0.2">
      <c r="G10" s="19"/>
      <c r="S10" s="47">
        <v>8</v>
      </c>
      <c r="T10" s="38" t="s">
        <v>92</v>
      </c>
      <c r="U10" s="50">
        <v>1</v>
      </c>
      <c r="V10" s="56"/>
    </row>
    <row r="11" spans="2:22" ht="16" x14ac:dyDescent="0.2">
      <c r="G11" s="20"/>
      <c r="S11" s="47">
        <v>9</v>
      </c>
      <c r="T11" s="38" t="s">
        <v>93</v>
      </c>
      <c r="U11" s="50">
        <v>1</v>
      </c>
      <c r="V11" s="56"/>
    </row>
    <row r="12" spans="2:22" ht="16" x14ac:dyDescent="0.2">
      <c r="G12" s="22"/>
      <c r="S12" s="47">
        <v>10</v>
      </c>
      <c r="T12" s="38" t="s">
        <v>94</v>
      </c>
      <c r="U12" s="50">
        <v>1</v>
      </c>
      <c r="V12" s="56"/>
    </row>
    <row r="13" spans="2:22" ht="16" x14ac:dyDescent="0.2">
      <c r="G13" s="22"/>
      <c r="S13" s="47">
        <v>11</v>
      </c>
      <c r="T13" s="38" t="s">
        <v>95</v>
      </c>
      <c r="U13" s="50">
        <v>1</v>
      </c>
      <c r="V13" s="56"/>
    </row>
    <row r="14" spans="2:22" ht="16" x14ac:dyDescent="0.2">
      <c r="G14" s="22"/>
      <c r="S14" s="47">
        <v>12</v>
      </c>
      <c r="T14" s="38" t="s">
        <v>96</v>
      </c>
      <c r="U14" s="50">
        <v>1</v>
      </c>
      <c r="V14" s="56"/>
    </row>
    <row r="15" spans="2:22" ht="16" x14ac:dyDescent="0.2">
      <c r="G15" s="22"/>
      <c r="S15" s="47">
        <v>13</v>
      </c>
      <c r="T15" s="38" t="s">
        <v>97</v>
      </c>
      <c r="U15" s="50">
        <v>1</v>
      </c>
      <c r="V15" s="56"/>
    </row>
    <row r="16" spans="2:22" ht="16" x14ac:dyDescent="0.2">
      <c r="S16" s="47">
        <v>14</v>
      </c>
      <c r="T16" s="38" t="s">
        <v>98</v>
      </c>
      <c r="U16" s="50">
        <v>1</v>
      </c>
      <c r="V16" s="56"/>
    </row>
    <row r="17" spans="19:22" ht="16" x14ac:dyDescent="0.2">
      <c r="S17" s="47">
        <v>15</v>
      </c>
      <c r="T17" s="38" t="s">
        <v>99</v>
      </c>
      <c r="U17" s="50">
        <v>1</v>
      </c>
      <c r="V17" s="56"/>
    </row>
    <row r="18" spans="19:22" ht="16" x14ac:dyDescent="0.2">
      <c r="S18" s="47">
        <v>16</v>
      </c>
      <c r="T18" s="38" t="s">
        <v>100</v>
      </c>
      <c r="U18" s="50"/>
      <c r="V18" s="56">
        <v>0</v>
      </c>
    </row>
    <row r="19" spans="19:22" ht="16" x14ac:dyDescent="0.2">
      <c r="S19" s="47">
        <v>17</v>
      </c>
      <c r="T19" s="38" t="s">
        <v>101</v>
      </c>
      <c r="U19" s="50">
        <v>1</v>
      </c>
      <c r="V19" s="56"/>
    </row>
    <row r="20" spans="19:22" ht="16" x14ac:dyDescent="0.2">
      <c r="S20" s="47">
        <v>18</v>
      </c>
      <c r="T20" s="38" t="s">
        <v>102</v>
      </c>
      <c r="U20" s="50">
        <v>1</v>
      </c>
      <c r="V20" s="56"/>
    </row>
    <row r="21" spans="19:22" ht="16" thickBot="1" x14ac:dyDescent="0.25">
      <c r="S21" s="48">
        <v>19</v>
      </c>
      <c r="T21" s="54" t="s">
        <v>103</v>
      </c>
      <c r="U21" s="51">
        <v>1</v>
      </c>
      <c r="V21" s="57"/>
    </row>
    <row r="22" spans="19:22" x14ac:dyDescent="0.2">
      <c r="T22" s="39"/>
      <c r="U22" s="58">
        <f>SUM(U3:U21)</f>
        <v>15</v>
      </c>
      <c r="V22" s="58">
        <f>SUM(V3:V21)</f>
        <v>0</v>
      </c>
    </row>
    <row r="23" spans="19:22" ht="16" x14ac:dyDescent="0.2">
      <c r="T23" s="40" t="s">
        <v>104</v>
      </c>
      <c r="U23" s="59" t="s">
        <v>107</v>
      </c>
      <c r="V23" s="41"/>
    </row>
    <row r="24" spans="19:22" ht="16" x14ac:dyDescent="0.2">
      <c r="T24" s="40" t="s">
        <v>105</v>
      </c>
      <c r="U24" s="59" t="s">
        <v>108</v>
      </c>
      <c r="V24" s="41"/>
    </row>
    <row r="25" spans="19:22" ht="32" x14ac:dyDescent="0.2">
      <c r="T25" s="40" t="s">
        <v>106</v>
      </c>
      <c r="U25" s="59" t="s">
        <v>109</v>
      </c>
      <c r="V25" s="41"/>
    </row>
  </sheetData>
  <mergeCells count="1">
    <mergeCell ref="U1:V1"/>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vt:i4>
      </vt:variant>
    </vt:vector>
  </HeadingPairs>
  <TitlesOfParts>
    <vt:vector size="2" baseType="lpstr">
      <vt:lpstr>Mapa de riesgos Corrupción</vt:lpstr>
      <vt:lpstr>Parametros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DIOMEDES ALEJANDRO ANGULO ANGULO</dc:creator>
  <cp:keywords/>
  <dc:description/>
  <cp:lastModifiedBy>Katherine Carvajal</cp:lastModifiedBy>
  <cp:revision/>
  <dcterms:created xsi:type="dcterms:W3CDTF">2025-01-27T22:01:38Z</dcterms:created>
  <dcterms:modified xsi:type="dcterms:W3CDTF">2026-01-30T21:12:49Z</dcterms:modified>
  <cp:category/>
  <cp:contentStatus/>
</cp:coreProperties>
</file>