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sromero\Downloads\"/>
    </mc:Choice>
  </mc:AlternateContent>
  <xr:revisionPtr revIDLastSave="0" documentId="13_ncr:1_{4C49B507-4273-4DD4-BD87-8A41DD39E1DC}" xr6:coauthVersionLast="47" xr6:coauthVersionMax="47" xr10:uidLastSave="{00000000-0000-0000-0000-000000000000}"/>
  <bookViews>
    <workbookView xWindow="-120" yWindow="-120" windowWidth="20730" windowHeight="11040" xr2:uid="{4A3A106C-572C-494B-B038-2BEBE8C82981}"/>
  </bookViews>
  <sheets>
    <sheet name="Resumen Ejecución 2025" sheetId="1" r:id="rId1"/>
    <sheet name="Resumen Rezago 2024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1" l="1"/>
  <c r="B17" i="1"/>
  <c r="B16" i="1"/>
  <c r="B15" i="1"/>
  <c r="B20" i="1" s="1"/>
  <c r="B9" i="1" s="1"/>
  <c r="E24" i="2"/>
  <c r="C23" i="2"/>
  <c r="I22" i="2"/>
  <c r="E22" i="2"/>
  <c r="E17" i="2"/>
  <c r="C16" i="2"/>
  <c r="C11" i="2"/>
  <c r="I10" i="2"/>
  <c r="C22" i="2"/>
  <c r="C17" i="2"/>
  <c r="E16" i="2"/>
  <c r="E11" i="2"/>
  <c r="B22" i="2"/>
  <c r="H16" i="2"/>
  <c r="H11" i="2"/>
  <c r="B23" i="2"/>
  <c r="H22" i="2"/>
  <c r="B16" i="2"/>
  <c r="B11" i="2"/>
  <c r="H10" i="2"/>
  <c r="E23" i="2"/>
  <c r="I16" i="2"/>
  <c r="I11" i="2"/>
  <c r="B24" i="2"/>
  <c r="B17" i="2"/>
  <c r="C24" i="2"/>
  <c r="C27" i="1"/>
  <c r="C26" i="1"/>
  <c r="C25" i="1"/>
  <c r="C24" i="1"/>
  <c r="H18" i="1"/>
  <c r="D18" i="1"/>
  <c r="H17" i="1"/>
  <c r="D17" i="1"/>
  <c r="H16" i="1"/>
  <c r="D16" i="1"/>
  <c r="H15" i="1"/>
  <c r="D15" i="1"/>
  <c r="I10" i="1"/>
  <c r="E10" i="1"/>
  <c r="I9" i="1"/>
  <c r="E9" i="1"/>
  <c r="I26" i="1"/>
  <c r="I25" i="1"/>
  <c r="E24" i="1"/>
  <c r="F17" i="1"/>
  <c r="F16" i="1"/>
  <c r="F27" i="1"/>
  <c r="B27" i="1"/>
  <c r="F26" i="1"/>
  <c r="B26" i="1"/>
  <c r="F25" i="1"/>
  <c r="B25" i="1"/>
  <c r="F24" i="1"/>
  <c r="B24" i="1"/>
  <c r="C18" i="1"/>
  <c r="C17" i="1"/>
  <c r="C16" i="1"/>
  <c r="C15" i="1"/>
  <c r="H10" i="1"/>
  <c r="D10" i="1"/>
  <c r="H9" i="1"/>
  <c r="D9" i="1"/>
  <c r="I27" i="1"/>
  <c r="E26" i="1"/>
  <c r="I24" i="1"/>
  <c r="F15" i="1"/>
  <c r="C10" i="1"/>
  <c r="H27" i="1"/>
  <c r="D27" i="1"/>
  <c r="H26" i="1"/>
  <c r="D26" i="1"/>
  <c r="H25" i="1"/>
  <c r="D25" i="1"/>
  <c r="H24" i="1"/>
  <c r="D24" i="1"/>
  <c r="I18" i="1"/>
  <c r="E18" i="1"/>
  <c r="I17" i="1"/>
  <c r="E17" i="1"/>
  <c r="I16" i="1"/>
  <c r="E16" i="1"/>
  <c r="I15" i="1"/>
  <c r="E15" i="1"/>
  <c r="F10" i="1"/>
  <c r="B10" i="1"/>
  <c r="F9" i="1"/>
  <c r="E27" i="1"/>
  <c r="E25" i="1"/>
  <c r="F18" i="1"/>
  <c r="C9" i="1"/>
  <c r="D24" i="2" l="1"/>
  <c r="G17" i="2"/>
  <c r="G24" i="2"/>
  <c r="J11" i="2"/>
  <c r="J16" i="2"/>
  <c r="I18" i="2"/>
  <c r="F23" i="2"/>
  <c r="H12" i="2"/>
  <c r="K10" i="2"/>
  <c r="G11" i="2"/>
  <c r="G16" i="2"/>
  <c r="G18" i="2" s="1"/>
  <c r="B18" i="2"/>
  <c r="B10" i="2" s="1"/>
  <c r="K22" i="2"/>
  <c r="H25" i="2"/>
  <c r="G23" i="2"/>
  <c r="K11" i="2"/>
  <c r="K16" i="2"/>
  <c r="K18" i="2" s="1"/>
  <c r="H18" i="2"/>
  <c r="G22" i="2"/>
  <c r="G25" i="2" s="1"/>
  <c r="B25" i="2"/>
  <c r="F11" i="2"/>
  <c r="E18" i="2"/>
  <c r="F16" i="2"/>
  <c r="D17" i="2"/>
  <c r="C25" i="2"/>
  <c r="D22" i="2"/>
  <c r="I12" i="2"/>
  <c r="J10" i="2"/>
  <c r="D11" i="2"/>
  <c r="C18" i="2"/>
  <c r="D16" i="2"/>
  <c r="F17" i="2"/>
  <c r="F22" i="2"/>
  <c r="E25" i="2"/>
  <c r="J22" i="2"/>
  <c r="I25" i="2"/>
  <c r="J25" i="2" s="1"/>
  <c r="D23" i="2"/>
  <c r="F24" i="2"/>
  <c r="M9" i="1"/>
  <c r="C11" i="1"/>
  <c r="C29" i="1" s="1"/>
  <c r="J18" i="1"/>
  <c r="G25" i="1"/>
  <c r="G27" i="1"/>
  <c r="F11" i="1"/>
  <c r="J9" i="1"/>
  <c r="J10" i="1"/>
  <c r="G15" i="1"/>
  <c r="E20" i="1"/>
  <c r="L15" i="1"/>
  <c r="I20" i="1"/>
  <c r="G16" i="1"/>
  <c r="L16" i="1"/>
  <c r="G17" i="1"/>
  <c r="L17" i="1"/>
  <c r="G18" i="1"/>
  <c r="L18" i="1"/>
  <c r="D28" i="1"/>
  <c r="K24" i="1"/>
  <c r="H28" i="1"/>
  <c r="K25" i="1"/>
  <c r="K26" i="1"/>
  <c r="K27" i="1"/>
  <c r="M10" i="1"/>
  <c r="J15" i="1"/>
  <c r="F20" i="1"/>
  <c r="I28" i="1"/>
  <c r="L24" i="1"/>
  <c r="G26" i="1"/>
  <c r="L27" i="1"/>
  <c r="D11" i="1"/>
  <c r="D29" i="1" s="1"/>
  <c r="H11" i="1"/>
  <c r="K9" i="1"/>
  <c r="K10" i="1"/>
  <c r="C20" i="1"/>
  <c r="M15" i="1"/>
  <c r="M16" i="1"/>
  <c r="M17" i="1"/>
  <c r="M18" i="1"/>
  <c r="B28" i="1"/>
  <c r="F28" i="1"/>
  <c r="J24" i="1"/>
  <c r="J25" i="1"/>
  <c r="J26" i="1"/>
  <c r="J27" i="1"/>
  <c r="J16" i="1"/>
  <c r="J17" i="1"/>
  <c r="G24" i="1"/>
  <c r="E28" i="1"/>
  <c r="L25" i="1"/>
  <c r="L26" i="1"/>
  <c r="E11" i="1"/>
  <c r="E29" i="1" s="1"/>
  <c r="I11" i="1"/>
  <c r="L9" i="1"/>
  <c r="L10" i="1"/>
  <c r="D20" i="1"/>
  <c r="H20" i="1"/>
  <c r="K20" i="1" s="1"/>
  <c r="K15" i="1"/>
  <c r="K16" i="1"/>
  <c r="K17" i="1"/>
  <c r="K18" i="1"/>
  <c r="C28" i="1"/>
  <c r="M24" i="1"/>
  <c r="M25" i="1"/>
  <c r="M26" i="1"/>
  <c r="M27" i="1"/>
  <c r="B11" i="1"/>
  <c r="B29" i="1" s="1"/>
  <c r="J28" i="1" l="1"/>
  <c r="J20" i="1"/>
  <c r="J21" i="1" s="1"/>
  <c r="L20" i="1"/>
  <c r="J12" i="2"/>
  <c r="B12" i="2"/>
  <c r="C10" i="2"/>
  <c r="G10" i="2" s="1"/>
  <c r="G12" i="2" s="1"/>
  <c r="D18" i="2"/>
  <c r="E10" i="2"/>
  <c r="F18" i="2"/>
  <c r="K25" i="2"/>
  <c r="J18" i="2"/>
  <c r="D25" i="2"/>
  <c r="K12" i="2"/>
  <c r="M28" i="1"/>
  <c r="M20" i="1"/>
  <c r="K11" i="1"/>
  <c r="H29" i="1"/>
  <c r="K29" i="1" s="1"/>
  <c r="L11" i="1"/>
  <c r="I29" i="1"/>
  <c r="L29" i="1" s="1"/>
  <c r="F29" i="1"/>
  <c r="J29" i="1" s="1"/>
  <c r="J11" i="1"/>
  <c r="J12" i="1" s="1"/>
  <c r="G28" i="1"/>
  <c r="G10" i="1" s="1"/>
  <c r="L28" i="1"/>
  <c r="K28" i="1"/>
  <c r="G20" i="1"/>
  <c r="G9" i="1" s="1"/>
  <c r="M11" i="1"/>
  <c r="M29" i="1" s="1"/>
  <c r="G11" i="1" l="1"/>
  <c r="G29" i="1" s="1"/>
  <c r="E12" i="2"/>
  <c r="F12" i="2" s="1"/>
  <c r="F25" i="2" s="1"/>
  <c r="F10" i="2"/>
  <c r="C12" i="2"/>
  <c r="D12" i="2" s="1"/>
  <c r="D10" i="2"/>
</calcChain>
</file>

<file path=xl/sharedStrings.xml><?xml version="1.0" encoding="utf-8"?>
<sst xmlns="http://schemas.openxmlformats.org/spreadsheetml/2006/main" count="111" uniqueCount="46">
  <si>
    <t>INSTITUTO DE PLANIFICACION Y PROMOCION DE SOLUCIONES ENERGETICAS PARA LAS ZONAS NO INTERCONECTADAS</t>
  </si>
  <si>
    <t>GRUPO DE RECURSOS FINANCIEROS</t>
  </si>
  <si>
    <t>RESUMEN EJECUCIÓN - 31 DE MAYO DE 2025</t>
  </si>
  <si>
    <t>Ejecución IPSE 2025</t>
  </si>
  <si>
    <t>Tipo de Gasto</t>
  </si>
  <si>
    <t>Apropiación Inicial</t>
  </si>
  <si>
    <t>Apropiación Vigente</t>
  </si>
  <si>
    <t>APR Bloqueada</t>
  </si>
  <si>
    <t>Solicitado CDP</t>
  </si>
  <si>
    <t>Compromisos</t>
  </si>
  <si>
    <t>Saldo CDP</t>
  </si>
  <si>
    <t>Obligación</t>
  </si>
  <si>
    <t>Pagos</t>
  </si>
  <si>
    <t>% Compromisos</t>
  </si>
  <si>
    <t>% Obligación</t>
  </si>
  <si>
    <t>% Pagos</t>
  </si>
  <si>
    <t>Faltante x Ejecutar</t>
  </si>
  <si>
    <t>Funcionamiento</t>
  </si>
  <si>
    <t>Inversión</t>
  </si>
  <si>
    <t>Total Presupuesto</t>
  </si>
  <si>
    <t>Ejecución IPSE Gastos de Funcionamiento 2025</t>
  </si>
  <si>
    <t>Gastos de Personal</t>
  </si>
  <si>
    <t>Adquisición de Bienes y Servicios</t>
  </si>
  <si>
    <t>Transferencias Corrientes</t>
  </si>
  <si>
    <t>Gastos por Tributos, Multas, Sanciones e Intereses de Mora</t>
  </si>
  <si>
    <t>Total Funcionamiento</t>
  </si>
  <si>
    <t>Ejecución IPSE Gastos de Inversión</t>
  </si>
  <si>
    <t>Formulación E Implementación De Soluciones Energéticas Sostenibles, Con Énfasis En Fuentes No Convencionales De Energía Renovable En El Territorio  Nacional</t>
  </si>
  <si>
    <t>Fortalecimiento De La Participación Ciudadana E Información Sobre La Gestión De La Transición Energética Justa Y Las Comunidades Energéticas A Nivel  Nacional</t>
  </si>
  <si>
    <t>Fortalecimiento De La Gestión Institucional Del IPSE   Bogotá</t>
  </si>
  <si>
    <t xml:space="preserve">Innovación Y Apropiación De Las Tecnologías De La Información Y Las Comunicaciones Del IPSE Hacia Una Sociedad Movida Por El Sol, El Viento Y El Agua En  </t>
  </si>
  <si>
    <t>Total Inversión</t>
  </si>
  <si>
    <t>RESUMEN EJECUCIÓN REZAGO PRESUPUESTAL -31 DE MAYO DE 2025</t>
  </si>
  <si>
    <t>Reservas Presupuestales 2024</t>
  </si>
  <si>
    <t>Cuentas por Pagar 2024</t>
  </si>
  <si>
    <t>Compromiso</t>
  </si>
  <si>
    <t>Faltante por Obligar</t>
  </si>
  <si>
    <t>Faltante x Pagar</t>
  </si>
  <si>
    <t>Reservas Presupuestales 2024 Funcionamiento</t>
  </si>
  <si>
    <t>GASTOS DE COMERCIALIZACIÓN Y PRODUCCIÓN</t>
  </si>
  <si>
    <t>Reservas Presupuestales 2024 Inversión</t>
  </si>
  <si>
    <t>Formulación e Implementación de Soluciones Energéticas Sostenibles</t>
  </si>
  <si>
    <t>Fortalecimiento de la Participación Ciudadana e Información sobre la Gestión de la Transición Energética</t>
  </si>
  <si>
    <t>Innovación y Apropiación de las Tecnologias de la Información y las Comunicaciones del IPSE</t>
  </si>
  <si>
    <t>Total Presupuesto Inversión</t>
  </si>
  <si>
    <t>INSTITUTO DE PLANIFICACION Y PROMOCION DE SOLUCIONES ENERGETICAS
 PARA LAS ZONAS NO INTERCONECTADAS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</si>
</sst>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,,"/>
    <numFmt numFmtId="165" formatCode="0.0%"/>
    <numFmt numFmtId="166" formatCode="#,##0.00,,"/>
    <numFmt numFmtId="167" formatCode="#,##0.0,,"/>
  </numFmts>
  <fonts count="7" x14ac:knownFonts="1">
    <font>
      <sz val="11"/>
      <color rgb="FF000000"/>
      <name val="Aptos Narrow"/>
      <family val="2"/>
      <scheme val="minor"/>
    </font>
    <font>
      <b/>
      <sz val="11"/>
      <name val="Arial"/>
      <family val="2"/>
    </font>
    <font>
      <sz val="11"/>
      <color rgb="FF000000"/>
      <name val="Aptos Narrow"/>
      <family val="2"/>
      <scheme val="minor"/>
    </font>
    <font>
      <b/>
      <sz val="14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75">
    <xf numFmtId="0" fontId="0" fillId="0" borderId="0" xfId="0"/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vertical="center"/>
    </xf>
    <xf numFmtId="9" fontId="4" fillId="2" borderId="1" xfId="1" applyFont="1" applyFill="1" applyBorder="1" applyAlignment="1">
      <alignment vertical="center"/>
    </xf>
    <xf numFmtId="164" fontId="4" fillId="3" borderId="1" xfId="0" applyNumberFormat="1" applyFont="1" applyFill="1" applyBorder="1" applyAlignment="1">
      <alignment vertical="center"/>
    </xf>
    <xf numFmtId="9" fontId="4" fillId="3" borderId="1" xfId="1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9" fontId="1" fillId="2" borderId="1" xfId="1" applyFont="1" applyFill="1" applyBorder="1" applyAlignment="1">
      <alignment vertical="center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165" fontId="1" fillId="2" borderId="0" xfId="1" applyNumberFormat="1" applyFont="1" applyFill="1" applyBorder="1" applyAlignment="1">
      <alignment horizontal="left" vertical="center"/>
    </xf>
    <xf numFmtId="166" fontId="1" fillId="2" borderId="0" xfId="0" applyNumberFormat="1" applyFont="1" applyFill="1" applyAlignment="1">
      <alignment vertical="center"/>
    </xf>
    <xf numFmtId="165" fontId="6" fillId="2" borderId="0" xfId="1" applyNumberFormat="1" applyFont="1" applyFill="1" applyBorder="1" applyAlignment="1">
      <alignment vertical="center"/>
    </xf>
    <xf numFmtId="165" fontId="1" fillId="2" borderId="0" xfId="1" applyNumberFormat="1" applyFont="1" applyFill="1" applyBorder="1" applyAlignment="1">
      <alignment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165" fontId="4" fillId="2" borderId="1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164" fontId="4" fillId="2" borderId="0" xfId="0" applyNumberFormat="1" applyFont="1" applyFill="1" applyAlignment="1">
      <alignment vertical="center"/>
    </xf>
    <xf numFmtId="165" fontId="4" fillId="2" borderId="0" xfId="1" applyNumberFormat="1" applyFont="1" applyFill="1" applyAlignment="1">
      <alignment vertical="center"/>
    </xf>
    <xf numFmtId="164" fontId="1" fillId="3" borderId="1" xfId="0" applyNumberFormat="1" applyFont="1" applyFill="1" applyBorder="1" applyAlignment="1">
      <alignment vertical="center"/>
    </xf>
    <xf numFmtId="9" fontId="1" fillId="3" borderId="1" xfId="1" applyFont="1" applyFill="1" applyBorder="1" applyAlignment="1">
      <alignment vertical="center"/>
    </xf>
    <xf numFmtId="165" fontId="1" fillId="2" borderId="1" xfId="1" applyNumberFormat="1" applyFont="1" applyFill="1" applyBorder="1" applyAlignment="1">
      <alignment vertical="center"/>
    </xf>
    <xf numFmtId="0" fontId="4" fillId="0" borderId="0" xfId="0" applyFont="1"/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" fillId="2" borderId="8" xfId="0" applyFont="1" applyFill="1" applyBorder="1" applyAlignment="1">
      <alignment horizontal="left" vertical="center" wrapText="1"/>
    </xf>
    <xf numFmtId="164" fontId="4" fillId="2" borderId="9" xfId="0" applyNumberFormat="1" applyFont="1" applyFill="1" applyBorder="1" applyAlignment="1">
      <alignment vertical="center"/>
    </xf>
    <xf numFmtId="164" fontId="4" fillId="2" borderId="8" xfId="0" applyNumberFormat="1" applyFont="1" applyFill="1" applyBorder="1" applyAlignment="1">
      <alignment vertical="center"/>
    </xf>
    <xf numFmtId="164" fontId="4" fillId="3" borderId="9" xfId="0" applyNumberFormat="1" applyFont="1" applyFill="1" applyBorder="1" applyAlignment="1">
      <alignment vertical="center"/>
    </xf>
    <xf numFmtId="164" fontId="4" fillId="3" borderId="8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horizontal="left" vertical="center" wrapText="1"/>
    </xf>
    <xf numFmtId="164" fontId="1" fillId="2" borderId="11" xfId="0" applyNumberFormat="1" applyFont="1" applyFill="1" applyBorder="1" applyAlignment="1">
      <alignment vertical="center"/>
    </xf>
    <xf numFmtId="9" fontId="1" fillId="2" borderId="11" xfId="1" applyFont="1" applyFill="1" applyBorder="1" applyAlignment="1">
      <alignment vertical="center"/>
    </xf>
    <xf numFmtId="164" fontId="1" fillId="2" borderId="12" xfId="0" applyNumberFormat="1" applyFont="1" applyFill="1" applyBorder="1" applyAlignment="1">
      <alignment vertical="center"/>
    </xf>
    <xf numFmtId="164" fontId="1" fillId="2" borderId="10" xfId="0" applyNumberFormat="1" applyFont="1" applyFill="1" applyBorder="1" applyAlignment="1">
      <alignment vertical="center"/>
    </xf>
    <xf numFmtId="164" fontId="4" fillId="0" borderId="0" xfId="0" applyNumberFormat="1" applyFont="1" applyAlignment="1">
      <alignment vertical="center"/>
    </xf>
    <xf numFmtId="0" fontId="1" fillId="2" borderId="13" xfId="0" applyFont="1" applyFill="1" applyBorder="1" applyAlignment="1">
      <alignment horizontal="left" vertical="center" wrapText="1"/>
    </xf>
    <xf numFmtId="164" fontId="4" fillId="2" borderId="14" xfId="0" applyNumberFormat="1" applyFont="1" applyFill="1" applyBorder="1" applyAlignment="1">
      <alignment vertical="center"/>
    </xf>
    <xf numFmtId="164" fontId="4" fillId="2" borderId="13" xfId="0" applyNumberFormat="1" applyFont="1" applyFill="1" applyBorder="1" applyAlignment="1">
      <alignment vertical="center"/>
    </xf>
    <xf numFmtId="165" fontId="4" fillId="2" borderId="14" xfId="1" applyNumberFormat="1" applyFont="1" applyFill="1" applyBorder="1" applyAlignment="1">
      <alignment vertical="center"/>
    </xf>
    <xf numFmtId="164" fontId="4" fillId="2" borderId="15" xfId="0" applyNumberFormat="1" applyFont="1" applyFill="1" applyBorder="1" applyAlignment="1">
      <alignment vertical="center"/>
    </xf>
    <xf numFmtId="0" fontId="1" fillId="3" borderId="10" xfId="0" applyFont="1" applyFill="1" applyBorder="1" applyAlignment="1">
      <alignment horizontal="left" vertical="center" wrapText="1"/>
    </xf>
    <xf numFmtId="164" fontId="1" fillId="3" borderId="11" xfId="0" applyNumberFormat="1" applyFont="1" applyFill="1" applyBorder="1" applyAlignment="1">
      <alignment vertical="center"/>
    </xf>
    <xf numFmtId="165" fontId="1" fillId="3" borderId="11" xfId="1" applyNumberFormat="1" applyFont="1" applyFill="1" applyBorder="1" applyAlignment="1">
      <alignment vertical="center"/>
    </xf>
    <xf numFmtId="164" fontId="1" fillId="3" borderId="12" xfId="0" applyNumberFormat="1" applyFont="1" applyFill="1" applyBorder="1" applyAlignment="1">
      <alignment vertical="center"/>
    </xf>
    <xf numFmtId="164" fontId="1" fillId="3" borderId="10" xfId="0" applyNumberFormat="1" applyFont="1" applyFill="1" applyBorder="1" applyAlignment="1">
      <alignment vertical="center"/>
    </xf>
    <xf numFmtId="0" fontId="1" fillId="3" borderId="2" xfId="0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vertical="center"/>
    </xf>
    <xf numFmtId="165" fontId="4" fillId="0" borderId="0" xfId="1" applyNumberFormat="1" applyFont="1" applyFill="1" applyBorder="1" applyAlignment="1">
      <alignment vertical="center"/>
    </xf>
    <xf numFmtId="165" fontId="4" fillId="3" borderId="1" xfId="1" applyNumberFormat="1" applyFont="1" applyFill="1" applyBorder="1" applyAlignment="1">
      <alignment vertical="center"/>
    </xf>
    <xf numFmtId="164" fontId="4" fillId="3" borderId="2" xfId="0" applyNumberFormat="1" applyFont="1" applyFill="1" applyBorder="1" applyAlignment="1">
      <alignment vertical="center"/>
    </xf>
    <xf numFmtId="167" fontId="4" fillId="2" borderId="1" xfId="0" applyNumberFormat="1" applyFont="1" applyFill="1" applyBorder="1" applyAlignment="1">
      <alignment vertical="center"/>
    </xf>
    <xf numFmtId="165" fontId="4" fillId="2" borderId="9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4" fontId="1" fillId="2" borderId="8" xfId="0" applyNumberFormat="1" applyFont="1" applyFill="1" applyBorder="1" applyAlignment="1">
      <alignment vertical="center"/>
    </xf>
    <xf numFmtId="164" fontId="4" fillId="0" borderId="0" xfId="0" applyNumberFormat="1" applyFont="1"/>
    <xf numFmtId="0" fontId="3" fillId="2" borderId="0" xfId="0" applyFont="1" applyFill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2" name="AutoShape 1" descr="IPSE - IPSE">
          <a:extLst>
            <a:ext uri="{FF2B5EF4-FFF2-40B4-BE49-F238E27FC236}">
              <a16:creationId xmlns:a16="http://schemas.microsoft.com/office/drawing/2014/main" id="{7A603BA9-5633-44C3-A107-C4C7A050CCE7}"/>
            </a:ext>
          </a:extLst>
        </xdr:cNvPr>
        <xdr:cNvSpPr>
          <a:spLocks noChangeAspect="1" noChangeArrowheads="1"/>
        </xdr:cNvSpPr>
      </xdr:nvSpPr>
      <xdr:spPr bwMode="auto">
        <a:xfrm>
          <a:off x="3990975" y="5638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3" name="AutoShape 1" descr="IPSE - IPSE">
          <a:extLst>
            <a:ext uri="{FF2B5EF4-FFF2-40B4-BE49-F238E27FC236}">
              <a16:creationId xmlns:a16="http://schemas.microsoft.com/office/drawing/2014/main" id="{F0A91BD1-9CE5-488A-B4D8-110248958CA0}"/>
            </a:ext>
          </a:extLst>
        </xdr:cNvPr>
        <xdr:cNvSpPr>
          <a:spLocks noChangeAspect="1" noChangeArrowheads="1"/>
        </xdr:cNvSpPr>
      </xdr:nvSpPr>
      <xdr:spPr bwMode="auto">
        <a:xfrm>
          <a:off x="3990975" y="5638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10</xdr:col>
      <xdr:colOff>595312</xdr:colOff>
      <xdr:row>2</xdr:row>
      <xdr:rowOff>23812</xdr:rowOff>
    </xdr:from>
    <xdr:to>
      <xdr:col>13</xdr:col>
      <xdr:colOff>32315</xdr:colOff>
      <xdr:row>5</xdr:row>
      <xdr:rowOff>173490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D28C736F-613A-4499-901F-CC7BE123EE93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7155" t="25961" r="60404" b="63474"/>
        <a:stretch/>
      </xdr:blipFill>
      <xdr:spPr bwMode="auto">
        <a:xfrm>
          <a:off x="8882062" y="433387"/>
          <a:ext cx="1503928" cy="81642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142874</xdr:colOff>
      <xdr:row>1</xdr:row>
      <xdr:rowOff>23813</xdr:rowOff>
    </xdr:from>
    <xdr:to>
      <xdr:col>0</xdr:col>
      <xdr:colOff>904875</xdr:colOff>
      <xdr:row>5</xdr:row>
      <xdr:rowOff>129811</xdr:rowOff>
    </xdr:to>
    <xdr:pic>
      <xdr:nvPicPr>
        <xdr:cNvPr id="29" name="Gráfico 1">
          <a:extLst>
            <a:ext uri="{FF2B5EF4-FFF2-40B4-BE49-F238E27FC236}">
              <a16:creationId xmlns:a16="http://schemas.microsoft.com/office/drawing/2014/main" id="{B1941FC0-F85A-4930-A097-F2940F287F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42874" y="204788"/>
          <a:ext cx="762001" cy="10013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19</xdr:row>
      <xdr:rowOff>0</xdr:rowOff>
    </xdr:from>
    <xdr:ext cx="304800" cy="304800"/>
    <xdr:sp macro="" textlink="">
      <xdr:nvSpPr>
        <xdr:cNvPr id="2" name="AutoShape 1" descr="IPSE - IPSE">
          <a:extLst>
            <a:ext uri="{FF2B5EF4-FFF2-40B4-BE49-F238E27FC236}">
              <a16:creationId xmlns:a16="http://schemas.microsoft.com/office/drawing/2014/main" id="{EB865935-0A43-4A97-A41A-68EB907D730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5067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19</xdr:row>
      <xdr:rowOff>0</xdr:rowOff>
    </xdr:from>
    <xdr:ext cx="304800" cy="304800"/>
    <xdr:sp macro="" textlink="">
      <xdr:nvSpPr>
        <xdr:cNvPr id="3" name="AutoShape 1" descr="IPSE - IPSE">
          <a:extLst>
            <a:ext uri="{FF2B5EF4-FFF2-40B4-BE49-F238E27FC236}">
              <a16:creationId xmlns:a16="http://schemas.microsoft.com/office/drawing/2014/main" id="{42AEF63F-25D8-4F14-9736-A3F7F3DB9C69}"/>
            </a:ext>
          </a:extLst>
        </xdr:cNvPr>
        <xdr:cNvSpPr>
          <a:spLocks noChangeAspect="1" noChangeArrowheads="1"/>
        </xdr:cNvSpPr>
      </xdr:nvSpPr>
      <xdr:spPr bwMode="auto">
        <a:xfrm>
          <a:off x="4657725" y="5067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8</xdr:col>
      <xdr:colOff>658245</xdr:colOff>
      <xdr:row>2</xdr:row>
      <xdr:rowOff>23812</xdr:rowOff>
    </xdr:from>
    <xdr:to>
      <xdr:col>10</xdr:col>
      <xdr:colOff>631030</xdr:colOff>
      <xdr:row>3</xdr:row>
      <xdr:rowOff>197303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953EAB9-4510-4E8E-9E1C-611B6AE084A6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7155" t="25961" r="60404" b="63474"/>
        <a:stretch/>
      </xdr:blipFill>
      <xdr:spPr bwMode="auto">
        <a:xfrm>
          <a:off x="8694964" y="381000"/>
          <a:ext cx="1508691" cy="76880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381001</xdr:colOff>
      <xdr:row>2</xdr:row>
      <xdr:rowOff>47625</xdr:rowOff>
    </xdr:from>
    <xdr:to>
      <xdr:col>0</xdr:col>
      <xdr:colOff>1143002</xdr:colOff>
      <xdr:row>5</xdr:row>
      <xdr:rowOff>46467</xdr:rowOff>
    </xdr:to>
    <xdr:pic>
      <xdr:nvPicPr>
        <xdr:cNvPr id="5" name="Gráfico 1">
          <a:extLst>
            <a:ext uri="{FF2B5EF4-FFF2-40B4-BE49-F238E27FC236}">
              <a16:creationId xmlns:a16="http://schemas.microsoft.com/office/drawing/2014/main" id="{40E587C8-6AFF-4740-AF45-43F6DA0824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81001" y="404813"/>
          <a:ext cx="762001" cy="9989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sromero\Downloads\Ejecuci&#243;n%20Presupuestal%2031%20de%20Mayo%202025.xlsx" TargetMode="External"/><Relationship Id="rId1" Type="http://schemas.openxmlformats.org/officeDocument/2006/relationships/externalLinkPath" Target="Ejecuci&#243;n%20Presupuestal%2031%20de%20Mayo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Tabla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jecución Desagregada 2025"/>
      <sheetName val="Ejecución Decreto 2025"/>
      <sheetName val="TD Decreto"/>
      <sheetName val="Abril"/>
      <sheetName val="TD Ejecucion Mensual"/>
      <sheetName val="Graficas Mensual"/>
      <sheetName val="Resumen Ejecución 2025"/>
      <sheetName val="Marzo"/>
      <sheetName val="Tablas"/>
      <sheetName val="Resumen Inversión"/>
      <sheetName val="Resumen Rezago 2024"/>
      <sheetName val="TD Reservas Presupuestales"/>
      <sheetName val="Reservas Ptales"/>
      <sheetName val="Ctas x pagar"/>
      <sheetName val="TD Ctas x Pagar"/>
      <sheetName val="desagregado proy inv"/>
      <sheetName val="Hoja2"/>
      <sheetName val="Enero"/>
      <sheetName val="Febrero"/>
    </sheetNames>
    <sheetDataSet>
      <sheetData sheetId="0"/>
      <sheetData sheetId="1"/>
      <sheetData sheetId="2">
        <row r="1">
          <cell r="A1" t="str">
            <v>Etiquetas de fila</v>
          </cell>
        </row>
        <row r="3">
          <cell r="B3">
            <v>10840969402</v>
          </cell>
        </row>
        <row r="4">
          <cell r="B4">
            <v>7784700000</v>
          </cell>
        </row>
        <row r="5">
          <cell r="B5">
            <v>7924695421</v>
          </cell>
        </row>
        <row r="6">
          <cell r="B6">
            <v>578900000</v>
          </cell>
        </row>
      </sheetData>
      <sheetData sheetId="3"/>
      <sheetData sheetId="4"/>
      <sheetData sheetId="5"/>
      <sheetData sheetId="6">
        <row r="11">
          <cell r="J11">
            <v>0.60574570497872338</v>
          </cell>
          <cell r="K11">
            <v>0.13248961070896428</v>
          </cell>
        </row>
        <row r="12">
          <cell r="J12">
            <v>0.39425429502127662</v>
          </cell>
        </row>
        <row r="14">
          <cell r="C14" t="str">
            <v>Apropiación Vigente</v>
          </cell>
          <cell r="F14" t="str">
            <v>Compromisos</v>
          </cell>
          <cell r="H14" t="str">
            <v>Obligación</v>
          </cell>
        </row>
        <row r="20">
          <cell r="J20">
            <v>0.37590229298673244</v>
          </cell>
          <cell r="K20">
            <v>0.22289810877968738</v>
          </cell>
        </row>
        <row r="21">
          <cell r="J21">
            <v>0.62409770701326761</v>
          </cell>
        </row>
        <row r="23">
          <cell r="C23" t="str">
            <v>Apropiación Vigente</v>
          </cell>
          <cell r="F23" t="str">
            <v>Compromisos</v>
          </cell>
          <cell r="H23" t="str">
            <v>Obligación</v>
          </cell>
        </row>
        <row r="28">
          <cell r="J28">
            <v>0.65100814858470002</v>
          </cell>
          <cell r="K28">
            <v>0.11468570887004736</v>
          </cell>
        </row>
        <row r="30">
          <cell r="J30">
            <v>0.34899185141529998</v>
          </cell>
        </row>
      </sheetData>
      <sheetData sheetId="7"/>
      <sheetData sheetId="8">
        <row r="3">
          <cell r="A3">
            <v>0.1</v>
          </cell>
          <cell r="B3">
            <v>1</v>
          </cell>
          <cell r="F3">
            <v>0.1</v>
          </cell>
          <cell r="G3">
            <v>1</v>
          </cell>
          <cell r="L3">
            <v>1</v>
          </cell>
        </row>
        <row r="4">
          <cell r="A4">
            <v>0.2</v>
          </cell>
          <cell r="B4">
            <v>1</v>
          </cell>
          <cell r="F4">
            <v>0.2</v>
          </cell>
          <cell r="G4">
            <v>1</v>
          </cell>
          <cell r="L4">
            <v>1</v>
          </cell>
        </row>
        <row r="5">
          <cell r="A5">
            <v>0.3</v>
          </cell>
          <cell r="B5">
            <v>1</v>
          </cell>
          <cell r="F5">
            <v>0.3</v>
          </cell>
          <cell r="G5">
            <v>1</v>
          </cell>
          <cell r="L5">
            <v>1</v>
          </cell>
        </row>
        <row r="6">
          <cell r="A6">
            <v>0.4</v>
          </cell>
          <cell r="B6">
            <v>1</v>
          </cell>
          <cell r="F6">
            <v>0.4</v>
          </cell>
          <cell r="G6">
            <v>1</v>
          </cell>
          <cell r="L6">
            <v>1</v>
          </cell>
        </row>
        <row r="7">
          <cell r="A7">
            <v>0.5</v>
          </cell>
          <cell r="B7">
            <v>1</v>
          </cell>
          <cell r="F7">
            <v>0.5</v>
          </cell>
          <cell r="G7">
            <v>1</v>
          </cell>
          <cell r="L7">
            <v>1</v>
          </cell>
        </row>
        <row r="8">
          <cell r="A8">
            <v>0.6</v>
          </cell>
          <cell r="B8">
            <v>1</v>
          </cell>
          <cell r="F8">
            <v>0.6</v>
          </cell>
          <cell r="G8">
            <v>1</v>
          </cell>
          <cell r="L8">
            <v>1</v>
          </cell>
        </row>
        <row r="9">
          <cell r="A9">
            <v>0.7</v>
          </cell>
          <cell r="B9">
            <v>1</v>
          </cell>
          <cell r="F9">
            <v>0.7</v>
          </cell>
          <cell r="G9">
            <v>1</v>
          </cell>
          <cell r="L9">
            <v>1</v>
          </cell>
        </row>
        <row r="10">
          <cell r="A10">
            <v>0.8</v>
          </cell>
          <cell r="B10">
            <v>1</v>
          </cell>
          <cell r="F10">
            <v>0.8</v>
          </cell>
          <cell r="G10">
            <v>1</v>
          </cell>
          <cell r="L10">
            <v>1</v>
          </cell>
        </row>
        <row r="11">
          <cell r="A11">
            <v>0.9</v>
          </cell>
          <cell r="B11">
            <v>1</v>
          </cell>
          <cell r="F11">
            <v>0.9</v>
          </cell>
          <cell r="G11">
            <v>1</v>
          </cell>
          <cell r="L11">
            <v>1</v>
          </cell>
        </row>
        <row r="12">
          <cell r="A12">
            <v>1</v>
          </cell>
          <cell r="B12">
            <v>1</v>
          </cell>
          <cell r="F12">
            <v>1</v>
          </cell>
          <cell r="G12">
            <v>1</v>
          </cell>
          <cell r="L12">
            <v>1</v>
          </cell>
        </row>
        <row r="13">
          <cell r="A13">
            <v>1.1000000000000001</v>
          </cell>
          <cell r="B13">
            <v>10</v>
          </cell>
          <cell r="F13">
            <v>1.1000000000000001</v>
          </cell>
          <cell r="G13">
            <v>10</v>
          </cell>
          <cell r="L13">
            <v>10</v>
          </cell>
        </row>
        <row r="18">
          <cell r="B18">
            <v>0</v>
          </cell>
          <cell r="C18">
            <v>0</v>
          </cell>
          <cell r="G18">
            <v>0</v>
          </cell>
          <cell r="H18">
            <v>0</v>
          </cell>
          <cell r="L18">
            <v>0</v>
          </cell>
          <cell r="M18">
            <v>0</v>
          </cell>
        </row>
        <row r="19">
          <cell r="B19">
            <v>0.32613292268529004</v>
          </cell>
          <cell r="C19">
            <v>0.94532392159552936</v>
          </cell>
          <cell r="G19">
            <v>-0.38006303528714147</v>
          </cell>
          <cell r="H19">
            <v>0.92496058792162872</v>
          </cell>
          <cell r="L19">
            <v>0.45681020691236468</v>
          </cell>
          <cell r="M19">
            <v>0.88956418254147496</v>
          </cell>
        </row>
        <row r="25">
          <cell r="B25">
            <v>0</v>
          </cell>
          <cell r="C25">
            <v>0</v>
          </cell>
          <cell r="G25">
            <v>0</v>
          </cell>
          <cell r="H25">
            <v>0</v>
          </cell>
          <cell r="L25">
            <v>0</v>
          </cell>
          <cell r="M25">
            <v>0</v>
          </cell>
        </row>
        <row r="26">
          <cell r="B26">
            <v>-0.9146203566498724</v>
          </cell>
          <cell r="C26">
            <v>0.40431374352309657</v>
          </cell>
          <cell r="G26">
            <v>-0.7646778475732855</v>
          </cell>
          <cell r="H26">
            <v>0.64441274772515722</v>
          </cell>
          <cell r="L26">
            <v>-0.93579258690646561</v>
          </cell>
          <cell r="M26">
            <v>0.3525510378525426</v>
          </cell>
        </row>
        <row r="32">
          <cell r="G32">
            <v>1</v>
          </cell>
          <cell r="L32">
            <v>1</v>
          </cell>
          <cell r="Q32">
            <v>1</v>
          </cell>
        </row>
        <row r="33">
          <cell r="G33">
            <v>1</v>
          </cell>
          <cell r="L33">
            <v>1</v>
          </cell>
          <cell r="Q33">
            <v>1</v>
          </cell>
        </row>
        <row r="34">
          <cell r="G34">
            <v>1</v>
          </cell>
          <cell r="L34">
            <v>1</v>
          </cell>
          <cell r="Q34">
            <v>1</v>
          </cell>
        </row>
        <row r="35">
          <cell r="G35">
            <v>1</v>
          </cell>
          <cell r="L35">
            <v>1</v>
          </cell>
          <cell r="Q35">
            <v>1</v>
          </cell>
        </row>
        <row r="36">
          <cell r="G36">
            <v>1</v>
          </cell>
          <cell r="L36">
            <v>1</v>
          </cell>
          <cell r="Q36">
            <v>1</v>
          </cell>
        </row>
        <row r="37">
          <cell r="G37">
            <v>1</v>
          </cell>
          <cell r="L37">
            <v>1</v>
          </cell>
          <cell r="Q37">
            <v>1</v>
          </cell>
        </row>
        <row r="38">
          <cell r="G38">
            <v>1</v>
          </cell>
          <cell r="L38">
            <v>1</v>
          </cell>
          <cell r="Q38">
            <v>1</v>
          </cell>
        </row>
        <row r="39">
          <cell r="G39">
            <v>1</v>
          </cell>
          <cell r="L39">
            <v>1</v>
          </cell>
          <cell r="Q39">
            <v>1</v>
          </cell>
        </row>
        <row r="40">
          <cell r="G40">
            <v>1</v>
          </cell>
          <cell r="L40">
            <v>1</v>
          </cell>
          <cell r="Q40">
            <v>1</v>
          </cell>
        </row>
        <row r="41">
          <cell r="G41">
            <v>1</v>
          </cell>
          <cell r="L41">
            <v>1</v>
          </cell>
          <cell r="Q41">
            <v>1</v>
          </cell>
        </row>
        <row r="42">
          <cell r="G42">
            <v>10</v>
          </cell>
          <cell r="L42">
            <v>10</v>
          </cell>
          <cell r="Q42">
            <v>10</v>
          </cell>
        </row>
        <row r="46">
          <cell r="B46">
            <v>0</v>
          </cell>
          <cell r="C46">
            <v>0</v>
          </cell>
          <cell r="G46">
            <v>0</v>
          </cell>
          <cell r="H46">
            <v>0</v>
          </cell>
          <cell r="L46">
            <v>0</v>
          </cell>
          <cell r="M46">
            <v>0</v>
          </cell>
          <cell r="Q46">
            <v>0</v>
          </cell>
          <cell r="R46">
            <v>0</v>
          </cell>
        </row>
        <row r="47">
          <cell r="B47">
            <v>0.50491490018316998</v>
          </cell>
          <cell r="C47">
            <v>0.86316912802359858</v>
          </cell>
          <cell r="G47">
            <v>0.80783775813156755</v>
          </cell>
          <cell r="H47">
            <v>0.58940491729961242</v>
          </cell>
          <cell r="L47">
            <v>-0.32620410305687353</v>
          </cell>
          <cell r="M47">
            <v>0.94529936165685668</v>
          </cell>
          <cell r="Q47">
            <v>-0.93297140917905286</v>
          </cell>
          <cell r="R47">
            <v>0.35995048222561449</v>
          </cell>
        </row>
        <row r="53">
          <cell r="B53">
            <v>0</v>
          </cell>
          <cell r="C53">
            <v>0</v>
          </cell>
          <cell r="G53">
            <v>0</v>
          </cell>
          <cell r="H53">
            <v>0</v>
          </cell>
          <cell r="L53">
            <v>0</v>
          </cell>
          <cell r="M53">
            <v>0</v>
          </cell>
          <cell r="Q53">
            <v>0</v>
          </cell>
          <cell r="R53">
            <v>0</v>
          </cell>
        </row>
        <row r="54">
          <cell r="B54">
            <v>-0.93490225031103835</v>
          </cell>
          <cell r="C54">
            <v>0.35490531464512703</v>
          </cell>
          <cell r="G54">
            <v>-0.93303054202628233</v>
          </cell>
          <cell r="H54">
            <v>0.35979717570617742</v>
          </cell>
          <cell r="L54">
            <v>-0.89314436559602539</v>
          </cell>
          <cell r="M54">
            <v>0.44977009927747896</v>
          </cell>
          <cell r="Q54">
            <v>-0.99185926207113495</v>
          </cell>
          <cell r="R54">
            <v>0.12733893451613179</v>
          </cell>
        </row>
      </sheetData>
      <sheetData sheetId="9"/>
      <sheetData sheetId="10"/>
      <sheetData sheetId="11">
        <row r="1">
          <cell r="A1" t="str">
            <v>Etiquetas de fila</v>
          </cell>
        </row>
      </sheetData>
      <sheetData sheetId="12"/>
      <sheetData sheetId="13"/>
      <sheetData sheetId="14">
        <row r="1">
          <cell r="A1" t="str">
            <v>Etiquetas de fila</v>
          </cell>
        </row>
      </sheetData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a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C2470-18E3-48C1-860F-FFAA730B01AE}">
  <sheetPr>
    <tabColor theme="8" tint="0.39997558519241921"/>
  </sheetPr>
  <dimension ref="A2:P29"/>
  <sheetViews>
    <sheetView tabSelected="1" zoomScale="80" zoomScaleNormal="80" workbookViewId="0">
      <selection activeCell="A3" sqref="A3:M3"/>
    </sheetView>
  </sheetViews>
  <sheetFormatPr baseColWidth="10" defaultColWidth="11.42578125" defaultRowHeight="14.25" x14ac:dyDescent="0.2"/>
  <cols>
    <col min="1" max="1" width="43.42578125" style="2" customWidth="1"/>
    <col min="2" max="2" width="15.5703125" style="2" customWidth="1"/>
    <col min="3" max="3" width="13.7109375" style="2" customWidth="1"/>
    <col min="4" max="4" width="13.140625" style="2" customWidth="1"/>
    <col min="5" max="5" width="12.140625" style="2" customWidth="1"/>
    <col min="6" max="6" width="17" style="2" customWidth="1"/>
    <col min="7" max="7" width="10.85546875" style="2" customWidth="1"/>
    <col min="8" max="8" width="11.85546875" style="2" customWidth="1"/>
    <col min="9" max="9" width="9.140625" style="2" customWidth="1"/>
    <col min="10" max="10" width="15.5703125" style="2" customWidth="1"/>
    <col min="11" max="11" width="12.28515625" style="2" customWidth="1"/>
    <col min="12" max="12" width="7.7109375" style="2" bestFit="1" customWidth="1"/>
    <col min="13" max="13" width="11" style="2" bestFit="1" customWidth="1"/>
    <col min="14" max="16384" width="11.42578125" style="2"/>
  </cols>
  <sheetData>
    <row r="2" spans="1:13" ht="18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8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5" spans="1:13" ht="20.25" x14ac:dyDescent="0.3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7" spans="1:13" ht="15" x14ac:dyDescent="0.25">
      <c r="A7" s="4" t="s">
        <v>3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s="7" customFormat="1" ht="30" x14ac:dyDescent="0.25">
      <c r="A8" s="5" t="s">
        <v>4</v>
      </c>
      <c r="B8" s="6" t="s">
        <v>5</v>
      </c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  <c r="H8" s="6" t="s">
        <v>11</v>
      </c>
      <c r="I8" s="6" t="s">
        <v>12</v>
      </c>
      <c r="J8" s="6" t="s">
        <v>13</v>
      </c>
      <c r="K8" s="6" t="s">
        <v>14</v>
      </c>
      <c r="L8" s="6" t="s">
        <v>15</v>
      </c>
      <c r="M8" s="6" t="s">
        <v>16</v>
      </c>
    </row>
    <row r="9" spans="1:13" s="7" customFormat="1" ht="15" x14ac:dyDescent="0.25">
      <c r="A9" s="8" t="s">
        <v>17</v>
      </c>
      <c r="B9" s="9">
        <f>+B20</f>
        <v>27129264823</v>
      </c>
      <c r="C9" s="9">
        <f>+GETPIVOTDATA("APR VIGENTE",'[1]TD Decreto'!$A$1,"TIPO","A")</f>
        <v>27129264823</v>
      </c>
      <c r="D9" s="9">
        <f>+GETPIVOTDATA("Suma de APR BLOQUEADA",'[1]TD Decreto'!$A$1,"TIPO","A")</f>
        <v>3872895421</v>
      </c>
      <c r="E9" s="9">
        <f>+GETPIVOTDATA("Suma de CDP",'[1]TD Decreto'!$A$1,"TIPO","A")</f>
        <v>19082244860</v>
      </c>
      <c r="F9" s="9">
        <f>+GETPIVOTDATA("Suma de COMPROMISO",'[1]TD Decreto'!$A$1,"TIPO","A")</f>
        <v>10197952854.01</v>
      </c>
      <c r="G9" s="9">
        <f t="shared" ref="G9" si="0">+G20</f>
        <v>8884292005.9899998</v>
      </c>
      <c r="H9" s="9">
        <f>+GETPIVOTDATA("Suma de OBLIGACION",'[1]TD Decreto'!$A$1,"TIPO","A")</f>
        <v>6047061821.6300001</v>
      </c>
      <c r="I9" s="9">
        <f>+GETPIVOTDATA("Suma de PAGOS",'[1]TD Decreto'!$A$1,"TIPO","A")</f>
        <v>6047061821.6300001</v>
      </c>
      <c r="J9" s="10">
        <f>+F9/C9</f>
        <v>0.37590229298673244</v>
      </c>
      <c r="K9" s="10">
        <f>+H9/C9</f>
        <v>0.22289810877968738</v>
      </c>
      <c r="L9" s="10">
        <f>+I9/C9</f>
        <v>0.22289810877968738</v>
      </c>
      <c r="M9" s="9">
        <f>+C9-F9</f>
        <v>16931311968.99</v>
      </c>
    </row>
    <row r="10" spans="1:13" s="7" customFormat="1" ht="15" x14ac:dyDescent="0.25">
      <c r="A10" s="5" t="s">
        <v>18</v>
      </c>
      <c r="B10" s="11">
        <f>+GETPIVOTDATA("APR INICIAL",'[1]TD Decreto'!$A$1,"TIPO","C")</f>
        <v>137762840337</v>
      </c>
      <c r="C10" s="11">
        <f>+GETPIVOTDATA("APR VIGENTE",'[1]TD Decreto'!$A$1,"TIPO","C")</f>
        <v>137762840337</v>
      </c>
      <c r="D10" s="11">
        <f>+GETPIVOTDATA("Suma de APR BLOQUEADA",'[1]TD Decreto'!$A$1,"TIPO","C")</f>
        <v>0</v>
      </c>
      <c r="E10" s="11">
        <f>+GETPIVOTDATA("Suma de CDP",'[1]TD Decreto'!$A$1,"TIPO","C")</f>
        <v>131901024794.56</v>
      </c>
      <c r="F10" s="11">
        <f>+GETPIVOTDATA("Suma de COMPROMISO",'[1]TD Decreto'!$A$1,"TIPO","C")</f>
        <v>89684731631.559998</v>
      </c>
      <c r="G10" s="11">
        <f t="shared" ref="G10" si="1">+G28</f>
        <v>42216293163</v>
      </c>
      <c r="H10" s="11">
        <f>+GETPIVOTDATA("Suma de OBLIGACION",'[1]TD Decreto'!$A$1,"TIPO","C")</f>
        <v>15799429000</v>
      </c>
      <c r="I10" s="11">
        <f>+GETPIVOTDATA("Suma de PAGOS",'[1]TD Decreto'!$A$1,"TIPO","C")</f>
        <v>7931182247.5699997</v>
      </c>
      <c r="J10" s="12">
        <f>+F10/C10</f>
        <v>0.65100814858470002</v>
      </c>
      <c r="K10" s="12">
        <f>+H10/C10</f>
        <v>0.11468570887004736</v>
      </c>
      <c r="L10" s="12">
        <f>+I10/C10</f>
        <v>5.7571274141622518E-2</v>
      </c>
      <c r="M10" s="11">
        <f>+C10-F10</f>
        <v>48078108705.440002</v>
      </c>
    </row>
    <row r="11" spans="1:13" s="7" customFormat="1" ht="15" x14ac:dyDescent="0.25">
      <c r="A11" s="8" t="s">
        <v>19</v>
      </c>
      <c r="B11" s="13">
        <f>+SUM(B9:B10)</f>
        <v>164892105160</v>
      </c>
      <c r="C11" s="13">
        <f>+SUM(C9:C10)</f>
        <v>164892105160</v>
      </c>
      <c r="D11" s="13">
        <f>+SUM(D9:D10)</f>
        <v>3872895421</v>
      </c>
      <c r="E11" s="13">
        <f t="shared" ref="E11:I11" si="2">+SUM(E9:E10)</f>
        <v>150983269654.56</v>
      </c>
      <c r="F11" s="13">
        <f t="shared" si="2"/>
        <v>99882684485.569992</v>
      </c>
      <c r="G11" s="13">
        <f t="shared" si="2"/>
        <v>51100585168.989998</v>
      </c>
      <c r="H11" s="13">
        <f t="shared" si="2"/>
        <v>21846490821.630001</v>
      </c>
      <c r="I11" s="13">
        <f t="shared" si="2"/>
        <v>13978244069.200001</v>
      </c>
      <c r="J11" s="14">
        <f>+F11/C11</f>
        <v>0.60574570497872338</v>
      </c>
      <c r="K11" s="14">
        <f>+H11/C11</f>
        <v>0.13248961070896428</v>
      </c>
      <c r="L11" s="14">
        <f>+I11/C11</f>
        <v>8.4772063863436456E-2</v>
      </c>
      <c r="M11" s="13">
        <f>+SUM(M9:M10)</f>
        <v>65009420674.43</v>
      </c>
    </row>
    <row r="12" spans="1:13" s="7" customFormat="1" ht="15" x14ac:dyDescent="0.25">
      <c r="A12" s="15"/>
      <c r="B12" s="16"/>
      <c r="C12" s="16"/>
      <c r="D12" s="16"/>
      <c r="E12" s="17"/>
      <c r="F12" s="18"/>
      <c r="G12" s="18"/>
      <c r="H12" s="18"/>
      <c r="I12" s="18"/>
      <c r="J12" s="19">
        <f>100%-J11</f>
        <v>0.39425429502127662</v>
      </c>
      <c r="K12" s="20"/>
      <c r="L12" s="20"/>
      <c r="M12" s="20"/>
    </row>
    <row r="13" spans="1:13" s="7" customFormat="1" ht="15" x14ac:dyDescent="0.25">
      <c r="A13" s="21" t="s">
        <v>20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3"/>
    </row>
    <row r="14" spans="1:13" s="7" customFormat="1" ht="30" x14ac:dyDescent="0.25">
      <c r="A14" s="5" t="s">
        <v>4</v>
      </c>
      <c r="B14" s="6" t="s">
        <v>5</v>
      </c>
      <c r="C14" s="6" t="s">
        <v>6</v>
      </c>
      <c r="D14" s="6" t="s">
        <v>7</v>
      </c>
      <c r="E14" s="6" t="s">
        <v>8</v>
      </c>
      <c r="F14" s="6" t="s">
        <v>9</v>
      </c>
      <c r="G14" s="6" t="s">
        <v>10</v>
      </c>
      <c r="H14" s="6" t="s">
        <v>11</v>
      </c>
      <c r="I14" s="6" t="s">
        <v>12</v>
      </c>
      <c r="J14" s="6" t="s">
        <v>13</v>
      </c>
      <c r="K14" s="6" t="s">
        <v>14</v>
      </c>
      <c r="L14" s="6" t="s">
        <v>15</v>
      </c>
      <c r="M14" s="6" t="s">
        <v>16</v>
      </c>
    </row>
    <row r="15" spans="1:13" s="7" customFormat="1" ht="15" x14ac:dyDescent="0.25">
      <c r="A15" s="8" t="s">
        <v>21</v>
      </c>
      <c r="B15" s="9">
        <f>+'[1]TD Decreto'!B3</f>
        <v>10840969402</v>
      </c>
      <c r="C15" s="9">
        <f>+GETPIVOTDATA("APR VIGENTE",'[1]TD Decreto'!$A$1,"TIPO","A","CTA","01")</f>
        <v>10840969402</v>
      </c>
      <c r="D15" s="9">
        <f>+GETPIVOTDATA("Suma de APR BLOQUEADA",'[1]TD Decreto'!$A$1,"TIPO","A","CTA","01")</f>
        <v>0</v>
      </c>
      <c r="E15" s="9">
        <f>+GETPIVOTDATA("Suma de CDP",'[1]TD Decreto'!$A$1,"TIPO","A","CTA","01")</f>
        <v>10840969402</v>
      </c>
      <c r="F15" s="9">
        <f>+GETPIVOTDATA("Suma de COMPROMISO",'[1]TD Decreto'!$A$1,"TIPO","A","CTA","01")</f>
        <v>3982478440</v>
      </c>
      <c r="G15" s="9">
        <f>+E15-F15</f>
        <v>6858490962</v>
      </c>
      <c r="H15" s="9">
        <f>+GETPIVOTDATA("Suma de OBLIGACION",'[1]TD Decreto'!$A$1,"TIPO","A","CTA","01")</f>
        <v>3962056328</v>
      </c>
      <c r="I15" s="9">
        <f>+GETPIVOTDATA("Suma de PAGOS",'[1]TD Decreto'!$A$1,"TIPO","A","CTA","01")</f>
        <v>3962056328</v>
      </c>
      <c r="J15" s="10">
        <f t="shared" ref="J15:J20" si="3">+F15/C15</f>
        <v>0.36735445810457606</v>
      </c>
      <c r="K15" s="10">
        <f t="shared" ref="K15:K20" si="4">+H15/C15</f>
        <v>0.36547066789701099</v>
      </c>
      <c r="L15" s="10">
        <f t="shared" ref="L15:L20" si="5">+I15/C15</f>
        <v>0.36547066789701099</v>
      </c>
      <c r="M15" s="9">
        <f>+C15-F15</f>
        <v>6858490962</v>
      </c>
    </row>
    <row r="16" spans="1:13" s="7" customFormat="1" ht="15" x14ac:dyDescent="0.25">
      <c r="A16" s="5" t="s">
        <v>22</v>
      </c>
      <c r="B16" s="11">
        <f>+'[1]TD Decreto'!B4</f>
        <v>7784700000</v>
      </c>
      <c r="C16" s="11">
        <f>+GETPIVOTDATA("APR VIGENTE",'[1]TD Decreto'!$A$1,"TIPO","A","CTA","02")</f>
        <v>7784700000</v>
      </c>
      <c r="D16" s="11">
        <f>+GETPIVOTDATA("Suma de APR BLOQUEADA",'[1]TD Decreto'!$A$1,"TIPO","A","CTA","02")</f>
        <v>0</v>
      </c>
      <c r="E16" s="11">
        <f>+GETPIVOTDATA("Suma de CDP",'[1]TD Decreto'!$A$1,"TIPO","A","CTA","02")</f>
        <v>7189475458</v>
      </c>
      <c r="F16" s="11">
        <f>+GETPIVOTDATA("Suma de COMPROMISO",'[1]TD Decreto'!$A$1,"TIPO","A","CTA","02")</f>
        <v>5661760038.0100002</v>
      </c>
      <c r="G16" s="11">
        <f t="shared" ref="G16:G18" si="6">+E16-F16</f>
        <v>1527715419.9899998</v>
      </c>
      <c r="H16" s="11">
        <f>+GETPIVOTDATA("Suma de OBLIGACION",'[1]TD Decreto'!$A$1,"TIPO","A","CTA","02")</f>
        <v>1531291117.6300001</v>
      </c>
      <c r="I16" s="11">
        <f>+GETPIVOTDATA("Suma de PAGOS",'[1]TD Decreto'!$A$1,"TIPO","A","CTA","02")</f>
        <v>1531291117.6300001</v>
      </c>
      <c r="J16" s="12">
        <f t="shared" si="3"/>
        <v>0.72729328529166193</v>
      </c>
      <c r="K16" s="12">
        <f t="shared" si="4"/>
        <v>0.19670521890760082</v>
      </c>
      <c r="L16" s="12">
        <f t="shared" si="5"/>
        <v>0.19670521890760082</v>
      </c>
      <c r="M16" s="11">
        <f>+C16-F16</f>
        <v>2122939961.9899998</v>
      </c>
    </row>
    <row r="17" spans="1:16" s="7" customFormat="1" ht="15" x14ac:dyDescent="0.25">
      <c r="A17" s="8" t="s">
        <v>23</v>
      </c>
      <c r="B17" s="9">
        <f>+'[1]TD Decreto'!B5</f>
        <v>7924695421</v>
      </c>
      <c r="C17" s="9">
        <f>+GETPIVOTDATA("APR VIGENTE",'[1]TD Decreto'!$A$1,"TIPO","A","CTA","03")</f>
        <v>7924695421</v>
      </c>
      <c r="D17" s="9">
        <f>+GETPIVOTDATA("Suma de APR BLOQUEADA",'[1]TD Decreto'!$A$1,"TIPO","A","CTA","03")</f>
        <v>3872895421</v>
      </c>
      <c r="E17" s="9">
        <f>+GETPIVOTDATA("Suma de CDP",'[1]TD Decreto'!$A$1,"TIPO","A","CTA","03")</f>
        <v>751800000</v>
      </c>
      <c r="F17" s="9">
        <f>+GETPIVOTDATA("Suma de COMPROMISO",'[1]TD Decreto'!$A$1,"TIPO","A","CTA","03")</f>
        <v>329056015</v>
      </c>
      <c r="G17" s="9">
        <f t="shared" si="6"/>
        <v>422743985</v>
      </c>
      <c r="H17" s="9">
        <f>+GETPIVOTDATA("Suma de OBLIGACION",'[1]TD Decreto'!$A$1,"TIPO","A","CTA","03")</f>
        <v>329056015</v>
      </c>
      <c r="I17" s="9">
        <f>+GETPIVOTDATA("Suma de PAGOS",'[1]TD Decreto'!$A$1,"TIPO","A","CTA","03")</f>
        <v>329056015</v>
      </c>
      <c r="J17" s="10">
        <f t="shared" si="3"/>
        <v>4.1522859557229161E-2</v>
      </c>
      <c r="K17" s="10">
        <f t="shared" si="4"/>
        <v>4.1522859557229161E-2</v>
      </c>
      <c r="L17" s="10">
        <f t="shared" si="5"/>
        <v>4.1522859557229161E-2</v>
      </c>
      <c r="M17" s="9">
        <f>+C17-F17</f>
        <v>7595639406</v>
      </c>
    </row>
    <row r="18" spans="1:16" s="7" customFormat="1" ht="30" x14ac:dyDescent="0.25">
      <c r="A18" s="5" t="s">
        <v>24</v>
      </c>
      <c r="B18" s="11">
        <f>+'[1]TD Decreto'!B6</f>
        <v>578900000</v>
      </c>
      <c r="C18" s="11">
        <f>+GETPIVOTDATA("APR VIGENTE",'[1]TD Decreto'!$A$1,"TIPO","A","CTA","08")</f>
        <v>578900000</v>
      </c>
      <c r="D18" s="11">
        <f>+GETPIVOTDATA("Suma de APR BLOQUEADA",'[1]TD Decreto'!$A$1,"TIPO","A","CTA","08")</f>
        <v>0</v>
      </c>
      <c r="E18" s="11">
        <f>+GETPIVOTDATA("Suma de CDP",'[1]TD Decreto'!$A$1,"TIPO","A","CTA","08")</f>
        <v>300000000</v>
      </c>
      <c r="F18" s="11">
        <f>+GETPIVOTDATA("Suma de COMPROMISO",'[1]TD Decreto'!$A$1,"TIPO","A","CTA","08")</f>
        <v>224658361</v>
      </c>
      <c r="G18" s="11">
        <f t="shared" si="6"/>
        <v>75341639</v>
      </c>
      <c r="H18" s="11">
        <f>+GETPIVOTDATA("Suma de OBLIGACION",'[1]TD Decreto'!$A$1,"TIPO","A","CTA","08")</f>
        <v>224658361</v>
      </c>
      <c r="I18" s="11">
        <f>+GETPIVOTDATA("Suma de PAGOS",'[1]TD Decreto'!$A$1,"TIPO","A","CTA","08")</f>
        <v>224658361</v>
      </c>
      <c r="J18" s="12">
        <f t="shared" si="3"/>
        <v>0.3880780117464156</v>
      </c>
      <c r="K18" s="12">
        <f t="shared" si="4"/>
        <v>0.3880780117464156</v>
      </c>
      <c r="L18" s="12">
        <f t="shared" si="5"/>
        <v>0.3880780117464156</v>
      </c>
      <c r="M18" s="11">
        <f>+C18-F18</f>
        <v>354241639</v>
      </c>
    </row>
    <row r="19" spans="1:16" s="7" customFormat="1" ht="15" x14ac:dyDescent="0.25">
      <c r="A19" s="8"/>
      <c r="B19" s="9"/>
      <c r="C19" s="9"/>
      <c r="D19" s="9"/>
      <c r="E19" s="9"/>
      <c r="F19" s="9"/>
      <c r="G19" s="9"/>
      <c r="H19" s="9"/>
      <c r="I19" s="9"/>
      <c r="J19" s="24"/>
      <c r="K19" s="24"/>
      <c r="L19" s="24"/>
      <c r="M19" s="9"/>
    </row>
    <row r="20" spans="1:16" s="7" customFormat="1" ht="15" x14ac:dyDescent="0.25">
      <c r="A20" s="8" t="s">
        <v>25</v>
      </c>
      <c r="B20" s="13">
        <f t="shared" ref="B20:I20" si="7">+SUM(B15:B19)</f>
        <v>27129264823</v>
      </c>
      <c r="C20" s="13">
        <f t="shared" si="7"/>
        <v>27129264823</v>
      </c>
      <c r="D20" s="13">
        <f t="shared" si="7"/>
        <v>3872895421</v>
      </c>
      <c r="E20" s="13">
        <f t="shared" si="7"/>
        <v>19082244860</v>
      </c>
      <c r="F20" s="13">
        <f t="shared" si="7"/>
        <v>10197952854.01</v>
      </c>
      <c r="G20" s="13">
        <f t="shared" si="7"/>
        <v>8884292005.9899998</v>
      </c>
      <c r="H20" s="13">
        <f t="shared" si="7"/>
        <v>6047061821.6300001</v>
      </c>
      <c r="I20" s="13">
        <f t="shared" si="7"/>
        <v>6047061821.6300001</v>
      </c>
      <c r="J20" s="14">
        <f t="shared" si="3"/>
        <v>0.37590229298673244</v>
      </c>
      <c r="K20" s="14">
        <f t="shared" si="4"/>
        <v>0.22289810877968738</v>
      </c>
      <c r="L20" s="14">
        <f t="shared" si="5"/>
        <v>0.22289810877968738</v>
      </c>
      <c r="M20" s="13">
        <f>+SUM(M15:M19)</f>
        <v>16931311968.99</v>
      </c>
    </row>
    <row r="21" spans="1:16" s="7" customFormat="1" ht="15" x14ac:dyDescent="0.25">
      <c r="A21" s="25"/>
      <c r="J21" s="19">
        <f>100%-J20</f>
        <v>0.62409770701326761</v>
      </c>
    </row>
    <row r="22" spans="1:16" s="7" customFormat="1" ht="15" x14ac:dyDescent="0.25">
      <c r="A22" s="26" t="s">
        <v>26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</row>
    <row r="23" spans="1:16" s="7" customFormat="1" ht="30" x14ac:dyDescent="0.25">
      <c r="A23" s="5" t="s">
        <v>4</v>
      </c>
      <c r="B23" s="6" t="s">
        <v>5</v>
      </c>
      <c r="C23" s="6" t="s">
        <v>6</v>
      </c>
      <c r="D23" s="6" t="s">
        <v>7</v>
      </c>
      <c r="E23" s="6" t="s">
        <v>8</v>
      </c>
      <c r="F23" s="6" t="s">
        <v>9</v>
      </c>
      <c r="G23" s="6" t="s">
        <v>10</v>
      </c>
      <c r="H23" s="6" t="s">
        <v>11</v>
      </c>
      <c r="I23" s="6" t="s">
        <v>12</v>
      </c>
      <c r="J23" s="6" t="s">
        <v>13</v>
      </c>
      <c r="K23" s="6" t="s">
        <v>14</v>
      </c>
      <c r="L23" s="6" t="s">
        <v>15</v>
      </c>
      <c r="M23" s="6" t="s">
        <v>16</v>
      </c>
    </row>
    <row r="24" spans="1:16" s="7" customFormat="1" ht="75" x14ac:dyDescent="0.25">
      <c r="A24" s="8" t="s">
        <v>27</v>
      </c>
      <c r="B24" s="9">
        <f>+GETPIVOTDATA("APR INICIAL",'[1]TD Decreto'!$A$1,"RUBRO","C-2102-1900-9-40301A","TIPO","C","CTA","2102")</f>
        <v>130019508092</v>
      </c>
      <c r="C24" s="9">
        <f>+GETPIVOTDATA("APR VIGENTE",'[1]TD Decreto'!$A$1,"RUBRO","C-2102-1900-9-40301A","TIPO","C","CTA","2102")</f>
        <v>130019508092</v>
      </c>
      <c r="D24" s="9">
        <f>+GETPIVOTDATA("Suma de APR BLOQUEADA",'[1]TD Decreto'!$A$1,"RUBRO","C-2102-1900-9-40301A","TIPO","C","CTA","2102")</f>
        <v>0</v>
      </c>
      <c r="E24" s="9">
        <f>+GETPIVOTDATA("Suma de CDP",'[1]TD Decreto'!$A$1,"RUBRO","C-2102-1900-9-40301A","TIPO","C","CTA","2102")</f>
        <v>128093649617</v>
      </c>
      <c r="F24" s="9">
        <f>+GETPIVOTDATA("Suma de COMPROMISO",'[1]TD Decreto'!$A$1,"RUBRO","C-2102-1900-9-40301A","TIPO","C","CTA","2102")</f>
        <v>86914937602</v>
      </c>
      <c r="G24" s="9">
        <f>+E24-F24</f>
        <v>41178712015</v>
      </c>
      <c r="H24" s="9">
        <f>+GETPIVOTDATA("Suma de OBLIGACION",'[1]TD Decreto'!$A$1,"RUBRO","C-2102-1900-9-40301A","TIPO","C","CTA","2102")</f>
        <v>15015549529.709999</v>
      </c>
      <c r="I24" s="9">
        <f>+GETPIVOTDATA("Suma de PAGOS",'[1]TD Decreto'!$A$1,"RUBRO","C-2102-1900-9-40301A","TIPO","C","CTA","2102")</f>
        <v>7375521786</v>
      </c>
      <c r="J24" s="10">
        <f>+F24/C24</f>
        <v>0.66847613006273021</v>
      </c>
      <c r="K24" s="10">
        <f>+H24/C24</f>
        <v>0.11548689692846095</v>
      </c>
      <c r="L24" s="10">
        <f>+I24/C24</f>
        <v>5.6726270497663961E-2</v>
      </c>
      <c r="M24" s="9">
        <f>+C24-F24</f>
        <v>43104570490</v>
      </c>
      <c r="N24" s="27"/>
      <c r="O24" s="28"/>
      <c r="P24" s="28"/>
    </row>
    <row r="25" spans="1:16" s="7" customFormat="1" ht="75" x14ac:dyDescent="0.25">
      <c r="A25" s="5" t="s">
        <v>28</v>
      </c>
      <c r="B25" s="11">
        <f>+GETPIVOTDATA("APR INICIAL",'[1]TD Decreto'!$A$1,"RUBRO","C-2106-1900-2-53106A","TIPO","C","CTA","2106")</f>
        <v>1353162500</v>
      </c>
      <c r="C25" s="11">
        <f>+GETPIVOTDATA("APR VIGENTE",'[1]TD Decreto'!$A$1,"RUBRO","C-2106-1900-2-53106A","TIPO","C","CTA","2106")</f>
        <v>1353162500</v>
      </c>
      <c r="D25" s="11">
        <f>+GETPIVOTDATA("Suma de APR BLOQUEADA",'[1]TD Decreto'!$A$1,"RUBRO","C-2106-1900-2-53106A","TIPO","C","CTA","2106")</f>
        <v>0</v>
      </c>
      <c r="E25" s="11">
        <f>+GETPIVOTDATA("Suma de CDP",'[1]TD Decreto'!$A$1,"RUBRO","C-2106-1900-2-53106A","TIPO","C","CTA","2106")</f>
        <v>1212288500</v>
      </c>
      <c r="F25" s="11">
        <f>+GETPIVOTDATA("Suma de COMPROMISO",'[1]TD Decreto'!$A$1,"RUBRO","C-2106-1900-2-53106A","TIPO","C","CTA","2106")</f>
        <v>1081667053</v>
      </c>
      <c r="G25" s="11">
        <f t="shared" ref="G25:G28" si="8">+E25-F25</f>
        <v>130621447</v>
      </c>
      <c r="H25" s="11">
        <f>+GETPIVOTDATA("Suma de OBLIGACION",'[1]TD Decreto'!$A$1,"RUBRO","C-2106-1900-2-53106A","TIPO","C","CTA","2106")</f>
        <v>158528553</v>
      </c>
      <c r="I25" s="11">
        <f>+GETPIVOTDATA("Suma de PAGOS",'[1]TD Decreto'!$A$1,"RUBRO","C-2106-1900-2-53106A","TIPO","C","CTA","2106")</f>
        <v>158528553</v>
      </c>
      <c r="J25" s="12">
        <f t="shared" ref="J25:J29" si="9">+F25/C25</f>
        <v>0.79936227393236214</v>
      </c>
      <c r="K25" s="12">
        <f t="shared" ref="K25:K29" si="10">+H25/C25</f>
        <v>0.11715411341948953</v>
      </c>
      <c r="L25" s="12">
        <f t="shared" ref="L25:L29" si="11">+I25/C25</f>
        <v>0.11715411341948953</v>
      </c>
      <c r="M25" s="11">
        <f t="shared" ref="M25:M27" si="12">+C25-F25</f>
        <v>271495447</v>
      </c>
    </row>
    <row r="26" spans="1:16" s="7" customFormat="1" ht="30" x14ac:dyDescent="0.25">
      <c r="A26" s="8" t="s">
        <v>29</v>
      </c>
      <c r="B26" s="9">
        <f>+GETPIVOTDATA("APR INICIAL",'[1]TD Decreto'!$A$1,"RUBRO","C-2199-1900-5-53105B","TIPO","C","CTA","2199")</f>
        <v>3390169745</v>
      </c>
      <c r="C26" s="9">
        <f>+GETPIVOTDATA("APR VIGENTE",'[1]TD Decreto'!$A$1,"RUBRO","C-2199-1900-5-53105B","TIPO","C","CTA","2199")</f>
        <v>3390169745</v>
      </c>
      <c r="D26" s="9">
        <f>+GETPIVOTDATA("Suma de APR BLOQUEADA",'[1]TD Decreto'!$A$1,"RUBRO","C-2199-1900-5-53105B","TIPO","C","CTA","2199")</f>
        <v>0</v>
      </c>
      <c r="E26" s="9">
        <f>+GETPIVOTDATA("Suma de CDP",'[1]TD Decreto'!$A$1,"RUBRO","C-2199-1900-5-53105B","TIPO","C","CTA","2199")</f>
        <v>1443902597.5599999</v>
      </c>
      <c r="F26" s="9">
        <f>+GETPIVOTDATA("Suma de COMPROMISO",'[1]TD Decreto'!$A$1,"RUBRO","C-2199-1900-5-53105B","TIPO","C","CTA","2199")</f>
        <v>1336507726.5599999</v>
      </c>
      <c r="G26" s="9">
        <f t="shared" si="8"/>
        <v>107394871</v>
      </c>
      <c r="H26" s="9">
        <f>+GETPIVOTDATA("Suma de OBLIGACION",'[1]TD Decreto'!$A$1,"RUBRO","C-2199-1900-5-53105B","TIPO","C","CTA","2199")</f>
        <v>503420143.29000002</v>
      </c>
      <c r="I26" s="9">
        <f>+GETPIVOTDATA("Suma de PAGOS",'[1]TD Decreto'!$A$1,"RUBRO","C-2199-1900-5-53105B","TIPO","C","CTA","2199")</f>
        <v>275201134.56999999</v>
      </c>
      <c r="J26" s="10">
        <f t="shared" si="9"/>
        <v>0.39423032682394488</v>
      </c>
      <c r="K26" s="10">
        <f t="shared" si="10"/>
        <v>0.14849408175872916</v>
      </c>
      <c r="L26" s="10">
        <f t="shared" si="11"/>
        <v>8.1176211007098112E-2</v>
      </c>
      <c r="M26" s="9">
        <f t="shared" si="12"/>
        <v>2053662018.4400001</v>
      </c>
    </row>
    <row r="27" spans="1:16" s="7" customFormat="1" ht="75" x14ac:dyDescent="0.25">
      <c r="A27" s="5" t="s">
        <v>30</v>
      </c>
      <c r="B27" s="11">
        <f>+GETPIVOTDATA("APR INICIAL",'[1]TD Decreto'!$A$1,"RUBRO","C-2199-1900-7-53105B","TIPO","C","CTA","2199")</f>
        <v>3000000000</v>
      </c>
      <c r="C27" s="11">
        <f>+GETPIVOTDATA("APR VIGENTE",'[1]TD Decreto'!$A$1,"RUBRO","C-2199-1900-7-53105B","TIPO","C","CTA","2199")</f>
        <v>3000000000</v>
      </c>
      <c r="D27" s="11">
        <f>+GETPIVOTDATA("Suma de APR BLOQUEADA",'[1]TD Decreto'!$A$1,"RUBRO","C-2199-1900-7-53105B","TIPO","C","CTA","2199")</f>
        <v>0</v>
      </c>
      <c r="E27" s="11">
        <f>+GETPIVOTDATA("Suma de CDP",'[1]TD Decreto'!$A$1,"RUBRO","C-2199-1900-7-53105B","TIPO","C","CTA","2199")</f>
        <v>1151184080</v>
      </c>
      <c r="F27" s="11">
        <f>+GETPIVOTDATA("Suma de COMPROMISO",'[1]TD Decreto'!$A$1,"RUBRO","C-2199-1900-7-53105B","TIPO","C","CTA","2199")</f>
        <v>351619250</v>
      </c>
      <c r="G27" s="11">
        <f>+E27-F27</f>
        <v>799564830</v>
      </c>
      <c r="H27" s="11">
        <f>+GETPIVOTDATA("Suma de OBLIGACION",'[1]TD Decreto'!$A$1,"RUBRO","C-2199-1900-7-53105B","TIPO","C","CTA","2199")</f>
        <v>121930774</v>
      </c>
      <c r="I27" s="11">
        <f>+GETPIVOTDATA("Suma de PAGOS",'[1]TD Decreto'!$A$1,"RUBRO","C-2199-1900-7-53105B","TIPO","C","CTA","2199")</f>
        <v>121930774</v>
      </c>
      <c r="J27" s="12">
        <f t="shared" si="9"/>
        <v>0.11720641666666666</v>
      </c>
      <c r="K27" s="12">
        <f t="shared" si="10"/>
        <v>4.0643591333333333E-2</v>
      </c>
      <c r="L27" s="12">
        <f t="shared" si="11"/>
        <v>4.0643591333333333E-2</v>
      </c>
      <c r="M27" s="11">
        <f t="shared" si="12"/>
        <v>2648380750</v>
      </c>
    </row>
    <row r="28" spans="1:16" s="7" customFormat="1" ht="15" x14ac:dyDescent="0.25">
      <c r="A28" s="8" t="s">
        <v>31</v>
      </c>
      <c r="B28" s="13">
        <f>+SUM(B24:B27)</f>
        <v>137762840337</v>
      </c>
      <c r="C28" s="13">
        <f t="shared" ref="C28:I28" si="13">+SUM(C24:C27)</f>
        <v>137762840337</v>
      </c>
      <c r="D28" s="13">
        <f>+SUM(D24:D27)</f>
        <v>0</v>
      </c>
      <c r="E28" s="13">
        <f t="shared" si="13"/>
        <v>131901024794.56</v>
      </c>
      <c r="F28" s="13">
        <f t="shared" si="13"/>
        <v>89684731631.559998</v>
      </c>
      <c r="G28" s="13">
        <f t="shared" si="8"/>
        <v>42216293163</v>
      </c>
      <c r="H28" s="13">
        <f t="shared" si="13"/>
        <v>15799429000</v>
      </c>
      <c r="I28" s="13">
        <f t="shared" si="13"/>
        <v>7931182247.5699997</v>
      </c>
      <c r="J28" s="14">
        <f t="shared" si="9"/>
        <v>0.65100814858470002</v>
      </c>
      <c r="K28" s="14">
        <f>+H28/C28</f>
        <v>0.11468570887004736</v>
      </c>
      <c r="L28" s="14">
        <f t="shared" si="11"/>
        <v>5.7571274141622518E-2</v>
      </c>
      <c r="M28" s="13">
        <f>+SUM(M24:M27)</f>
        <v>48078108705.440002</v>
      </c>
      <c r="N28" s="27"/>
      <c r="O28" s="28"/>
    </row>
    <row r="29" spans="1:16" s="7" customFormat="1" ht="15" x14ac:dyDescent="0.25">
      <c r="A29" s="5" t="s">
        <v>19</v>
      </c>
      <c r="B29" s="29">
        <f>+B11</f>
        <v>164892105160</v>
      </c>
      <c r="C29" s="29">
        <f t="shared" ref="C29:I29" si="14">+C11</f>
        <v>164892105160</v>
      </c>
      <c r="D29" s="29">
        <f t="shared" si="14"/>
        <v>3872895421</v>
      </c>
      <c r="E29" s="29">
        <f t="shared" si="14"/>
        <v>150983269654.56</v>
      </c>
      <c r="F29" s="29">
        <f t="shared" si="14"/>
        <v>99882684485.569992</v>
      </c>
      <c r="G29" s="29">
        <f t="shared" si="14"/>
        <v>51100585168.989998</v>
      </c>
      <c r="H29" s="29">
        <f t="shared" si="14"/>
        <v>21846490821.630001</v>
      </c>
      <c r="I29" s="29">
        <f t="shared" si="14"/>
        <v>13978244069.200001</v>
      </c>
      <c r="J29" s="30">
        <f t="shared" si="9"/>
        <v>0.60574570497872338</v>
      </c>
      <c r="K29" s="30">
        <f t="shared" si="10"/>
        <v>0.13248961070896428</v>
      </c>
      <c r="L29" s="30">
        <f t="shared" si="11"/>
        <v>8.4772063863436456E-2</v>
      </c>
      <c r="M29" s="29">
        <f>+M11</f>
        <v>65009420674.43</v>
      </c>
      <c r="N29" s="27"/>
      <c r="O29" s="28"/>
    </row>
  </sheetData>
  <mergeCells count="6">
    <mergeCell ref="A2:M2"/>
    <mergeCell ref="A3:M3"/>
    <mergeCell ref="A5:M5"/>
    <mergeCell ref="A7:M7"/>
    <mergeCell ref="A13:M13"/>
    <mergeCell ref="A22:M22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AA9F9-10B6-45F0-90F8-0D8133C6CCCF}">
  <dimension ref="A1:N26"/>
  <sheetViews>
    <sheetView zoomScale="80" zoomScaleNormal="80" workbookViewId="0">
      <selection activeCell="N3" sqref="N3"/>
    </sheetView>
  </sheetViews>
  <sheetFormatPr baseColWidth="10" defaultColWidth="11.42578125" defaultRowHeight="14.25" x14ac:dyDescent="0.2"/>
  <cols>
    <col min="1" max="1" width="20.85546875" style="32" customWidth="1"/>
    <col min="2" max="2" width="20" style="32" customWidth="1"/>
    <col min="3" max="3" width="12" style="32" customWidth="1"/>
    <col min="4" max="4" width="17" style="32" customWidth="1"/>
    <col min="5" max="5" width="9.7109375" style="32" customWidth="1"/>
    <col min="6" max="6" width="9.85546875" style="32" bestFit="1" customWidth="1"/>
    <col min="7" max="7" width="15.85546875" style="32" customWidth="1"/>
    <col min="8" max="8" width="15.28515625" style="32" customWidth="1"/>
    <col min="9" max="9" width="10.42578125" style="32" customWidth="1"/>
    <col min="10" max="10" width="12.7109375" style="32" customWidth="1"/>
    <col min="11" max="11" width="10.7109375" style="32" customWidth="1"/>
    <col min="12" max="16384" width="11.42578125" style="32"/>
  </cols>
  <sheetData>
    <row r="1" spans="1:13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3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3" ht="46.5" customHeight="1" x14ac:dyDescent="0.25">
      <c r="A3" s="74" t="s">
        <v>45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3" ht="18" x14ac:dyDescent="0.25">
      <c r="A4" s="1" t="s">
        <v>1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3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3" ht="18" x14ac:dyDescent="0.25">
      <c r="A6" s="1" t="s">
        <v>32</v>
      </c>
      <c r="B6" s="1"/>
      <c r="C6" s="1"/>
      <c r="D6" s="1"/>
      <c r="E6" s="1"/>
      <c r="F6" s="1"/>
      <c r="G6" s="1"/>
      <c r="H6" s="1"/>
      <c r="I6" s="1"/>
      <c r="J6" s="1"/>
      <c r="K6" s="1"/>
    </row>
    <row r="7" spans="1:13" ht="15" thickBot="1" x14ac:dyDescent="0.25">
      <c r="A7" s="2"/>
      <c r="C7" s="2"/>
      <c r="D7" s="2"/>
      <c r="E7" s="2"/>
      <c r="F7" s="2"/>
      <c r="G7" s="2"/>
      <c r="H7" s="2"/>
      <c r="I7" s="2"/>
      <c r="J7" s="2"/>
      <c r="K7" s="2"/>
    </row>
    <row r="8" spans="1:13" ht="15" x14ac:dyDescent="0.25">
      <c r="A8" s="33" t="s">
        <v>33</v>
      </c>
      <c r="B8" s="34"/>
      <c r="C8" s="34"/>
      <c r="D8" s="34"/>
      <c r="E8" s="34"/>
      <c r="F8" s="34"/>
      <c r="G8" s="35"/>
      <c r="H8" s="36" t="s">
        <v>34</v>
      </c>
      <c r="I8" s="37"/>
      <c r="J8" s="37"/>
      <c r="K8" s="38"/>
    </row>
    <row r="9" spans="1:13" s="42" customFormat="1" ht="30" x14ac:dyDescent="0.25">
      <c r="A9" s="39" t="s">
        <v>4</v>
      </c>
      <c r="B9" s="6" t="s">
        <v>35</v>
      </c>
      <c r="C9" s="6" t="s">
        <v>11</v>
      </c>
      <c r="D9" s="6" t="s">
        <v>14</v>
      </c>
      <c r="E9" s="6" t="s">
        <v>12</v>
      </c>
      <c r="F9" s="6" t="s">
        <v>15</v>
      </c>
      <c r="G9" s="40" t="s">
        <v>36</v>
      </c>
      <c r="H9" s="41" t="s">
        <v>11</v>
      </c>
      <c r="I9" s="6" t="s">
        <v>12</v>
      </c>
      <c r="J9" s="6" t="s">
        <v>15</v>
      </c>
      <c r="K9" s="40" t="s">
        <v>37</v>
      </c>
    </row>
    <row r="10" spans="1:13" s="42" customFormat="1" ht="15" x14ac:dyDescent="0.25">
      <c r="A10" s="43" t="s">
        <v>17</v>
      </c>
      <c r="B10" s="9">
        <f>+B18</f>
        <v>4103790780.2800002</v>
      </c>
      <c r="C10" s="9">
        <f>+C18</f>
        <v>3022859190.3999996</v>
      </c>
      <c r="D10" s="10">
        <f>+C10/B10</f>
        <v>0.73660168177329721</v>
      </c>
      <c r="E10" s="9">
        <f t="shared" ref="E10" si="0">+E18</f>
        <v>3022859190.3999996</v>
      </c>
      <c r="F10" s="10">
        <f>+E10/B10</f>
        <v>0.73660168177329721</v>
      </c>
      <c r="G10" s="44">
        <f>+B10-C10</f>
        <v>1080931589.8800006</v>
      </c>
      <c r="H10" s="45">
        <f>+GETPIVOTDATA("Suma de OBLIGACION",'[1]TD Ctas x Pagar'!$A$1,"TIPO","A")</f>
        <v>665858514.23000002</v>
      </c>
      <c r="I10" s="9">
        <f>+GETPIVOTDATA("Suma de PAGOS",'[1]TD Ctas x Pagar'!$A$1,"TIPO","A")</f>
        <v>665858514.23000002</v>
      </c>
      <c r="J10" s="10">
        <f>+I10/H10</f>
        <v>1</v>
      </c>
      <c r="K10" s="44">
        <f>+H10-I10</f>
        <v>0</v>
      </c>
    </row>
    <row r="11" spans="1:13" s="42" customFormat="1" ht="15" x14ac:dyDescent="0.25">
      <c r="A11" s="39" t="s">
        <v>18</v>
      </c>
      <c r="B11" s="11">
        <f>+GETPIVOTDATA("Suma de COMPROMISO",'[1]TD Reservas Presupuestales'!$A$1,"TIPO","C")</f>
        <v>206458024774.14999</v>
      </c>
      <c r="C11" s="11">
        <f>+GETPIVOTDATA("Suma de OBLIGACION",'[1]TD Reservas Presupuestales'!$A$1,"TIPO","C")</f>
        <v>95908295060.900009</v>
      </c>
      <c r="D11" s="12">
        <f>+C11/B11</f>
        <v>0.46454137670752532</v>
      </c>
      <c r="E11" s="11">
        <f>+GETPIVOTDATA("Suma de PAGOS",'[1]TD Reservas Presupuestales'!$A$1,"TIPO","C")</f>
        <v>95849985060.900009</v>
      </c>
      <c r="F11" s="12">
        <f>+E11/B11</f>
        <v>0.46425894641660403</v>
      </c>
      <c r="G11" s="46">
        <f>+B11-C11</f>
        <v>110549729713.24998</v>
      </c>
      <c r="H11" s="47">
        <f>+GETPIVOTDATA("Suma de OBLIGACION",'[1]TD Ctas x Pagar'!$A$1,"TIPO","C")</f>
        <v>8512768</v>
      </c>
      <c r="I11" s="11">
        <f>+GETPIVOTDATA("Suma de PAGOS",'[1]TD Ctas x Pagar'!$A$1,"TIPO","C")</f>
        <v>8512768</v>
      </c>
      <c r="J11" s="12">
        <f>+I11/H11</f>
        <v>1</v>
      </c>
      <c r="K11" s="46">
        <f>+H11-I11</f>
        <v>0</v>
      </c>
    </row>
    <row r="12" spans="1:13" s="42" customFormat="1" ht="15.75" thickBot="1" x14ac:dyDescent="0.3">
      <c r="A12" s="48" t="s">
        <v>19</v>
      </c>
      <c r="B12" s="49">
        <f>+SUM(B10:B11)</f>
        <v>210561815554.42999</v>
      </c>
      <c r="C12" s="49">
        <f>+SUM(C10:C11)</f>
        <v>98931154251.300003</v>
      </c>
      <c r="D12" s="50">
        <f>+C12/B12</f>
        <v>0.46984375581491133</v>
      </c>
      <c r="E12" s="49">
        <f t="shared" ref="E12:K12" si="1">+SUM(E10:E11)</f>
        <v>98872844251.300003</v>
      </c>
      <c r="F12" s="50">
        <f>+E12/B12</f>
        <v>0.4695668300112158</v>
      </c>
      <c r="G12" s="51">
        <f t="shared" si="1"/>
        <v>111630661303.12999</v>
      </c>
      <c r="H12" s="52">
        <f t="shared" si="1"/>
        <v>674371282.23000002</v>
      </c>
      <c r="I12" s="49">
        <f t="shared" si="1"/>
        <v>674371282.23000002</v>
      </c>
      <c r="J12" s="50">
        <f>+I12/H12</f>
        <v>1</v>
      </c>
      <c r="K12" s="51">
        <f t="shared" si="1"/>
        <v>0</v>
      </c>
      <c r="L12" s="53"/>
      <c r="M12" s="53"/>
    </row>
    <row r="13" spans="1:13" s="42" customFormat="1" ht="15.75" thickBot="1" x14ac:dyDescent="0.3">
      <c r="A13" s="15"/>
      <c r="B13" s="16"/>
      <c r="C13" s="16"/>
      <c r="D13" s="16"/>
      <c r="E13" s="18"/>
      <c r="F13" s="18"/>
      <c r="G13" s="18"/>
      <c r="H13" s="18"/>
      <c r="I13" s="20"/>
      <c r="J13" s="20"/>
      <c r="K13" s="20"/>
    </row>
    <row r="14" spans="1:13" s="42" customFormat="1" ht="15" x14ac:dyDescent="0.25">
      <c r="A14" s="33" t="s">
        <v>38</v>
      </c>
      <c r="B14" s="34"/>
      <c r="C14" s="34"/>
      <c r="D14" s="34"/>
      <c r="E14" s="34"/>
      <c r="F14" s="34"/>
      <c r="G14" s="35"/>
      <c r="H14" s="36" t="s">
        <v>34</v>
      </c>
      <c r="I14" s="37"/>
      <c r="J14" s="37"/>
      <c r="K14" s="38"/>
    </row>
    <row r="15" spans="1:13" s="42" customFormat="1" ht="30" x14ac:dyDescent="0.25">
      <c r="A15" s="39" t="s">
        <v>4</v>
      </c>
      <c r="B15" s="6" t="s">
        <v>35</v>
      </c>
      <c r="C15" s="6" t="s">
        <v>11</v>
      </c>
      <c r="D15" s="6" t="s">
        <v>14</v>
      </c>
      <c r="E15" s="6" t="s">
        <v>12</v>
      </c>
      <c r="F15" s="6" t="s">
        <v>15</v>
      </c>
      <c r="G15" s="40" t="s">
        <v>36</v>
      </c>
      <c r="H15" s="41" t="s">
        <v>11</v>
      </c>
      <c r="I15" s="6" t="s">
        <v>12</v>
      </c>
      <c r="J15" s="6" t="s">
        <v>15</v>
      </c>
      <c r="K15" s="40" t="s">
        <v>37</v>
      </c>
    </row>
    <row r="16" spans="1:13" s="42" customFormat="1" ht="30" x14ac:dyDescent="0.25">
      <c r="A16" s="43" t="s">
        <v>22</v>
      </c>
      <c r="B16" s="9">
        <f>+GETPIVOTDATA("Suma de COMPROMISO",'[1]TD Reservas Presupuestales'!$A$1,"RUBRO","A-02","TIPO","A")</f>
        <v>3358089425.6100001</v>
      </c>
      <c r="C16" s="9">
        <f>+GETPIVOTDATA("Suma de OBLIGACION",'[1]TD Reservas Presupuestales'!$A$1,"RUBRO","A-02","TIPO","A")</f>
        <v>3022859190.3999996</v>
      </c>
      <c r="D16" s="24">
        <f>+C16/B16</f>
        <v>0.900172332322834</v>
      </c>
      <c r="E16" s="9">
        <f>+GETPIVOTDATA("Suma de PAGOS",'[1]TD Reservas Presupuestales'!$A$1,"RUBRO","A-02","TIPO","A")</f>
        <v>3022859190.3999996</v>
      </c>
      <c r="F16" s="24">
        <f>+E16/B16</f>
        <v>0.900172332322834</v>
      </c>
      <c r="G16" s="44">
        <f>+B16-C16</f>
        <v>335230235.21000051</v>
      </c>
      <c r="H16" s="45">
        <f>+GETPIVOTDATA("Suma de OBLIGACION",'[1]TD Ctas x Pagar'!$A$1,"TIPO","A")</f>
        <v>665858514.23000002</v>
      </c>
      <c r="I16" s="9">
        <f>+GETPIVOTDATA("Suma de PAGOS",'[1]TD Ctas x Pagar'!$A$1,"TIPO","A")</f>
        <v>665858514.23000002</v>
      </c>
      <c r="J16" s="24">
        <f>+I16/H16</f>
        <v>1</v>
      </c>
      <c r="K16" s="44">
        <f>+H16-I16</f>
        <v>0</v>
      </c>
    </row>
    <row r="17" spans="1:14" s="42" customFormat="1" ht="60" x14ac:dyDescent="0.25">
      <c r="A17" s="54" t="s">
        <v>39</v>
      </c>
      <c r="B17" s="55">
        <f>+GETPIVOTDATA("Suma de COMPROMISO",'[1]TD Reservas Presupuestales'!$A$1,"RUBRO","A-05","TIPO","A")</f>
        <v>745701354.66999996</v>
      </c>
      <c r="C17" s="55">
        <f>+GETPIVOTDATA("Suma de OBLIGACION",'[1]TD Reservas Presupuestales'!$A$1,"RUBRO","A-05","TIPO","A")</f>
        <v>0</v>
      </c>
      <c r="D17" s="24">
        <f>+C17/B17</f>
        <v>0</v>
      </c>
      <c r="E17" s="55">
        <f>+GETPIVOTDATA("Suma de PAGOS",'[1]TD Reservas Presupuestales'!$A$1,"RUBRO","A-05","TIPO","A")</f>
        <v>0</v>
      </c>
      <c r="F17" s="24">
        <f>+E17/B17</f>
        <v>0</v>
      </c>
      <c r="G17" s="44">
        <f>+B17-C17</f>
        <v>745701354.66999996</v>
      </c>
      <c r="H17" s="56"/>
      <c r="I17" s="55"/>
      <c r="J17" s="57"/>
      <c r="K17" s="58"/>
    </row>
    <row r="18" spans="1:14" s="42" customFormat="1" ht="30.75" thickBot="1" x14ac:dyDescent="0.3">
      <c r="A18" s="59" t="s">
        <v>25</v>
      </c>
      <c r="B18" s="60">
        <f>+SUM(B16:B17)</f>
        <v>4103790780.2800002</v>
      </c>
      <c r="C18" s="60">
        <f>+SUM(C16:C17)</f>
        <v>3022859190.3999996</v>
      </c>
      <c r="D18" s="61">
        <f>+C18/B18</f>
        <v>0.73660168177329721</v>
      </c>
      <c r="E18" s="60">
        <f>+SUM(E16:E17)</f>
        <v>3022859190.3999996</v>
      </c>
      <c r="F18" s="61">
        <f>+E18/B18</f>
        <v>0.73660168177329721</v>
      </c>
      <c r="G18" s="62">
        <f>+SUM(G16:G17)</f>
        <v>1080931589.8800006</v>
      </c>
      <c r="H18" s="63">
        <f t="shared" ref="H18:I18" si="2">+SUM(H16:H16)</f>
        <v>665858514.23000002</v>
      </c>
      <c r="I18" s="60">
        <f t="shared" si="2"/>
        <v>665858514.23000002</v>
      </c>
      <c r="J18" s="61">
        <f>+I18/H18</f>
        <v>1</v>
      </c>
      <c r="K18" s="62">
        <f>+SUM(K16:K16)</f>
        <v>0</v>
      </c>
    </row>
    <row r="19" spans="1:14" s="42" customFormat="1" ht="15" thickBot="1" x14ac:dyDescent="0.3">
      <c r="A19" s="25"/>
      <c r="B19" s="7"/>
      <c r="C19" s="7"/>
      <c r="D19" s="7"/>
      <c r="E19" s="7"/>
      <c r="F19" s="7"/>
      <c r="G19" s="7"/>
      <c r="H19" s="7"/>
      <c r="I19" s="7"/>
      <c r="J19" s="7"/>
      <c r="K19" s="7"/>
    </row>
    <row r="20" spans="1:14" s="42" customFormat="1" ht="15" x14ac:dyDescent="0.25">
      <c r="A20" s="33" t="s">
        <v>40</v>
      </c>
      <c r="B20" s="34"/>
      <c r="C20" s="34"/>
      <c r="D20" s="34"/>
      <c r="E20" s="34"/>
      <c r="F20" s="34"/>
      <c r="G20" s="34"/>
      <c r="H20" s="36" t="s">
        <v>34</v>
      </c>
      <c r="I20" s="37"/>
      <c r="J20" s="37"/>
      <c r="K20" s="38"/>
    </row>
    <row r="21" spans="1:14" s="42" customFormat="1" ht="30" x14ac:dyDescent="0.25">
      <c r="A21" s="39" t="s">
        <v>4</v>
      </c>
      <c r="B21" s="6" t="s">
        <v>35</v>
      </c>
      <c r="C21" s="6" t="s">
        <v>11</v>
      </c>
      <c r="D21" s="6" t="s">
        <v>14</v>
      </c>
      <c r="E21" s="6" t="s">
        <v>12</v>
      </c>
      <c r="F21" s="6" t="s">
        <v>15</v>
      </c>
      <c r="G21" s="64" t="s">
        <v>36</v>
      </c>
      <c r="H21" s="41" t="s">
        <v>11</v>
      </c>
      <c r="I21" s="6" t="s">
        <v>12</v>
      </c>
      <c r="J21" s="6" t="s">
        <v>15</v>
      </c>
      <c r="K21" s="40" t="s">
        <v>37</v>
      </c>
    </row>
    <row r="22" spans="1:14" s="42" customFormat="1" ht="75" x14ac:dyDescent="0.25">
      <c r="A22" s="43" t="s">
        <v>41</v>
      </c>
      <c r="B22" s="9">
        <f>+GETPIVOTDATA("Suma de COMPROMISO",'[1]TD Reservas Presupuestales'!$A$1,"RUBRO","C-2102-1900-9-40301A","TIPO","C")</f>
        <v>205322617310.82999</v>
      </c>
      <c r="C22" s="9">
        <f>+GETPIVOTDATA("Suma de OBLIGACION",'[1]TD Reservas Presupuestales'!$A$1,"RUBRO","C-2102-1900-9-40301A","TIPO","C")</f>
        <v>94772887597.580002</v>
      </c>
      <c r="D22" s="24">
        <f t="shared" ref="D22:D25" si="3">+C22/B22</f>
        <v>0.46158035991771418</v>
      </c>
      <c r="E22" s="9">
        <f>+GETPIVOTDATA("Suma de PAGOS",'[1]TD Reservas Presupuestales'!$A$1,"RUBRO","C-2102-1900-9-40301A","TIPO","C")</f>
        <v>94714577597.580002</v>
      </c>
      <c r="F22" s="24">
        <f t="shared" ref="F22:F24" si="4">+E22/B22</f>
        <v>0.46129636782388789</v>
      </c>
      <c r="G22" s="65">
        <f>+B22-C22</f>
        <v>110549729713.24998</v>
      </c>
      <c r="H22" s="45">
        <f>+GETPIVOTDATA("Suma de OBLIGACION",'[1]TD Ctas x Pagar'!$A$1,"RUBRO","C-2102-1900-9-40301A","TIPO","C","CTA","2102")</f>
        <v>8512768</v>
      </c>
      <c r="I22" s="45">
        <f>+GETPIVOTDATA("Suma de PAGOS",'[1]TD Ctas x Pagar'!$A$1,"RUBRO","C-2102-1900-9-40301A","TIPO","C","CTA","2102")</f>
        <v>8512768</v>
      </c>
      <c r="J22" s="24">
        <f t="shared" ref="J22" si="5">+I22/H22</f>
        <v>1</v>
      </c>
      <c r="K22" s="44">
        <f>+H22-I22</f>
        <v>0</v>
      </c>
      <c r="L22" s="66"/>
      <c r="M22" s="53"/>
      <c r="N22" s="66"/>
    </row>
    <row r="23" spans="1:14" s="42" customFormat="1" ht="105" x14ac:dyDescent="0.25">
      <c r="A23" s="39" t="s">
        <v>42</v>
      </c>
      <c r="B23" s="11">
        <f>+GETPIVOTDATA("Suma de COMPROMISO",'[1]TD Reservas Presupuestales'!$A$1,"RUBRO","C-2106-1900-2-53106A","TIPO","C")</f>
        <v>134688963.31999999</v>
      </c>
      <c r="C23" s="11">
        <f>+GETPIVOTDATA("Suma de OBLIGACION",'[1]TD Reservas Presupuestales'!$A$1,"RUBRO","C-2106-1900-2-53106A","TIPO","C")</f>
        <v>134688963.31999999</v>
      </c>
      <c r="D23" s="67">
        <f t="shared" si="3"/>
        <v>1</v>
      </c>
      <c r="E23" s="11">
        <f>+GETPIVOTDATA("Suma de PAGOS",'[1]TD Reservas Presupuestales'!$A$1,"RUBRO","C-2106-1900-2-53106A","TIPO","C")</f>
        <v>134688963.31999999</v>
      </c>
      <c r="F23" s="67">
        <f t="shared" si="4"/>
        <v>1</v>
      </c>
      <c r="G23" s="68">
        <f t="shared" ref="G23:G24" si="6">+B23-C23</f>
        <v>0</v>
      </c>
      <c r="H23" s="47"/>
      <c r="I23" s="11"/>
      <c r="J23" s="67"/>
      <c r="K23" s="46"/>
      <c r="L23" s="66"/>
      <c r="M23" s="53"/>
      <c r="N23" s="66"/>
    </row>
    <row r="24" spans="1:14" s="7" customFormat="1" ht="90" x14ac:dyDescent="0.25">
      <c r="A24" s="43" t="s">
        <v>43</v>
      </c>
      <c r="B24" s="69">
        <f>+GETPIVOTDATA("Suma de COMPROMISO",'[1]TD Reservas Presupuestales'!$A$1,"RUBRO","C-2199-1900-7-53105B","TIPO","C")</f>
        <v>1000718500</v>
      </c>
      <c r="C24" s="69">
        <f>+GETPIVOTDATA("Suma de OBLIGACION",'[1]TD Reservas Presupuestales'!$A$1,"RUBRO","C-2199-1900-7-53105B","TIPO","C")</f>
        <v>1000718500</v>
      </c>
      <c r="D24" s="24">
        <f t="shared" si="3"/>
        <v>1</v>
      </c>
      <c r="E24" s="9">
        <f>+GETPIVOTDATA("Suma de PAGOS",'[1]TD Reservas Presupuestales'!$A$1,"RUBRO","C-2199-1900-7-53105B","TIPO","C")</f>
        <v>1000718500</v>
      </c>
      <c r="F24" s="24">
        <f t="shared" si="4"/>
        <v>1</v>
      </c>
      <c r="G24" s="65">
        <f t="shared" si="6"/>
        <v>0</v>
      </c>
      <c r="H24" s="45"/>
      <c r="I24" s="24"/>
      <c r="J24" s="24"/>
      <c r="K24" s="70"/>
      <c r="L24" s="71"/>
      <c r="M24" s="27"/>
      <c r="N24" s="71"/>
    </row>
    <row r="25" spans="1:14" s="42" customFormat="1" ht="30" x14ac:dyDescent="0.25">
      <c r="A25" s="43" t="s">
        <v>44</v>
      </c>
      <c r="B25" s="13">
        <f>SUM(B22:B24)</f>
        <v>206458024774.14999</v>
      </c>
      <c r="C25" s="13">
        <f>SUM(C22:C24)</f>
        <v>95908295060.900009</v>
      </c>
      <c r="D25" s="31">
        <f t="shared" si="3"/>
        <v>0.46454137670752532</v>
      </c>
      <c r="E25" s="13">
        <f>SUM(E22:E24)</f>
        <v>95849985060.900009</v>
      </c>
      <c r="F25" s="31">
        <f t="shared" ref="F25" si="7">+F12</f>
        <v>0.4695668300112158</v>
      </c>
      <c r="G25" s="13">
        <f>SUM(G22:G24)</f>
        <v>110549729713.24998</v>
      </c>
      <c r="H25" s="72">
        <f>SUM(H22:H24)</f>
        <v>8512768</v>
      </c>
      <c r="I25" s="72">
        <f>SUM(I22:I24)</f>
        <v>8512768</v>
      </c>
      <c r="J25" s="31">
        <f>+I25/H25</f>
        <v>1</v>
      </c>
      <c r="K25" s="44">
        <f>+H25-I25</f>
        <v>0</v>
      </c>
    </row>
    <row r="26" spans="1:14" x14ac:dyDescent="0.2">
      <c r="B26" s="73"/>
    </row>
  </sheetData>
  <mergeCells count="9">
    <mergeCell ref="A20:G20"/>
    <mergeCell ref="H20:K20"/>
    <mergeCell ref="A3:K3"/>
    <mergeCell ref="A4:K4"/>
    <mergeCell ref="A6:K6"/>
    <mergeCell ref="A8:G8"/>
    <mergeCell ref="H8:K8"/>
    <mergeCell ref="A14:G14"/>
    <mergeCell ref="H14:K14"/>
  </mergeCell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 Ejecución 2025</vt:lpstr>
      <vt:lpstr>Resumen Rezago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JULIETH SMIDTH  ROMERO GUIZA</dc:creator>
  <cp:lastModifiedBy>JULIETH SMIDTH  ROMERO GUIZA</cp:lastModifiedBy>
  <dcterms:created xsi:type="dcterms:W3CDTF">2025-06-03T12:36:38Z</dcterms:created>
  <dcterms:modified xsi:type="dcterms:W3CDTF">2025-06-03T12:39:10Z</dcterms:modified>
</cp:coreProperties>
</file>